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4"/>
  </bookViews>
  <sheets>
    <sheet name="Дод 1" sheetId="1" r:id="rId1"/>
    <sheet name="Дод 2 " sheetId="2" r:id="rId2"/>
    <sheet name="Дод 3 " sheetId="3" r:id="rId3"/>
    <sheet name="Дод  4" sheetId="4" r:id="rId4"/>
    <sheet name="Дод 5" sheetId="5" r:id="rId5"/>
  </sheets>
  <externalReferences>
    <externalReference r:id="rId8"/>
    <externalReference r:id="rId9"/>
    <externalReference r:id="rId10"/>
  </externalReferences>
  <definedNames>
    <definedName name="Excel_BuiltIn_Print_Area_1">#REF!</definedName>
    <definedName name="Excel_BuiltIn_Print_Area_1_1">#REF!</definedName>
    <definedName name="Excel_BuiltIn_Print_Area_1_2">#REF!</definedName>
    <definedName name="Excel_BuiltIn_Print_Area_2">#REF!</definedName>
    <definedName name="Excel_BuiltIn_Print_Area_2_1">#REF!</definedName>
    <definedName name="Excel_BuiltIn_Print_Area_2_2">#REF!</definedName>
    <definedName name="Excel_BuiltIn_Print_Area_3">#REF!</definedName>
    <definedName name="Excel_BuiltIn_Print_Area_3_1">#REF!</definedName>
    <definedName name="Excel_BuiltIn_Print_Area_3_2">#REF!</definedName>
    <definedName name="Excel_BuiltIn_Print_Area_4">#REF!</definedName>
    <definedName name="Excel_BuiltIn_Print_Area_4_1">#REF!</definedName>
    <definedName name="Excel_BuiltIn_Print_Area_4_2">#REF!</definedName>
    <definedName name="Excel_BuiltIn_Print_Titles_1">#REF!</definedName>
    <definedName name="Excel_BuiltIn_Print_Titles_1_1">#REF!</definedName>
    <definedName name="Excel_BuiltIn_Print_Titles_1_1_1">'[1]Дод 4'!#REF!</definedName>
    <definedName name="Excel_BuiltIn_Print_Titles_1_1_1_1">'[2]Дод 4'!#REF!</definedName>
    <definedName name="Excel_BuiltIn_Print_Titles_1_1_2">'[3]Дод 4'!#REF!</definedName>
    <definedName name="Excel_BuiltIn_Print_Titles_1_1_3">'Дод  4'!#REF!</definedName>
    <definedName name="Excel_BuiltIn_Print_Titles_1_2">#REF!</definedName>
    <definedName name="Excel_BuiltIn_Print_Titles_2">#REF!</definedName>
    <definedName name="Excel_BuiltIn_Print_Titles_3">#REF!</definedName>
    <definedName name="Excel_BuiltIn_Print_Titles_3_1">#REF!</definedName>
    <definedName name="Excel_BuiltIn_Print_Titles_3_2">#REF!</definedName>
    <definedName name="Excel_BuiltIn_Print_Titles_3_3">#REF!</definedName>
    <definedName name="ghj">#REF!</definedName>
    <definedName name="kjhh">#REF!</definedName>
    <definedName name="t">#REF!</definedName>
    <definedName name="y">#REF!</definedName>
    <definedName name="Д">#REF!</definedName>
    <definedName name="_xlnm.Print_Titles" localSheetId="0">'Дод 1'!$11:$11</definedName>
    <definedName name="_xlnm.Print_Titles" localSheetId="2">'Дод 3 '!$9:$13</definedName>
    <definedName name="_xlnm.Print_Titles" localSheetId="4">'Дод 5'!$9:$11</definedName>
    <definedName name="_xlnm.Print_Area" localSheetId="3">'Дод  4'!$A$1:$S$17</definedName>
    <definedName name="_xlnm.Print_Area" localSheetId="0">'Дод 1'!$A$1:$F$49</definedName>
    <definedName name="_xlnm.Print_Area" localSheetId="1">'Дод 2 '!$A$1:$F$25</definedName>
    <definedName name="_xlnm.Print_Area" localSheetId="2">'Дод 3 '!$A$1:$P$70</definedName>
    <definedName name="_xlnm.Print_Area" localSheetId="4">'Дод 5'!$A$1:$J$53</definedName>
  </definedNames>
  <calcPr fullCalcOnLoad="1"/>
</workbook>
</file>

<file path=xl/sharedStrings.xml><?xml version="1.0" encoding="utf-8"?>
<sst xmlns="http://schemas.openxmlformats.org/spreadsheetml/2006/main" count="492" uniqueCount="283">
  <si>
    <t xml:space="preserve">Додаток  1     </t>
  </si>
  <si>
    <t>до рішення районної</t>
  </si>
  <si>
    <t xml:space="preserve">     </t>
  </si>
  <si>
    <t xml:space="preserve">у місті ради </t>
  </si>
  <si>
    <t xml:space="preserve">Доходи районного у місті бюджету на 2019 рік 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</si>
  <si>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</si>
  <si>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</si>
  <si>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</si>
  <si>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</si>
  <si>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</si>
  <si>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</si>
  <si>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</si>
  <si>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</si>
  <si>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</t>
  </si>
  <si>
    <t>Внутрішні податки на товари та послуги</t>
  </si>
  <si>
    <t xml:space="preserve">Акцизний податок з реалізації суб'єктами господарювання роздрібної торгівлі підакцизних товарів 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</si>
  <si>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</si>
  <si>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</si>
  <si>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</si>
  <si>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</si>
  <si>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</si>
  <si>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</si>
  <si>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Збір за місця для паркування транспортних засобів</t>
  </si>
  <si>
    <t>Збір за місця для паркування транспортних засобів, сплачений юридичними особами</t>
  </si>
  <si>
    <t>Неподаткові надходження</t>
  </si>
  <si>
    <t>Доходи від власності та підприємницької діяльності</t>
  </si>
  <si>
    <t>Інші надходження</t>
  </si>
  <si>
    <t>Адміністративні штрафи та інші санкції</t>
  </si>
  <si>
    <t>Адміністративні збори та платежі, доходи від некомерційної господарської діяльності</t>
  </si>
  <si>
    <t>Плата за надання адміністративних послуг</t>
  </si>
  <si>
    <t>Плата за надання інших адміністративних послуг</t>
  </si>
  <si>
    <t>Власні надходження бюджетних установ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</si>
  <si>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</si>
  <si>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</si>
  <si>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Плата за оренду майна бюджетних установ</t>
  </si>
  <si>
    <t>Усього доходів (без урахування міжбюджетних трансфертів)</t>
  </si>
  <si>
    <t>Офіційні трансферти</t>
  </si>
  <si>
    <t>Від органів державного управління</t>
  </si>
  <si>
    <t>Дотації з місцевих бюджетів іншим місцевим бюджетам</t>
  </si>
  <si>
    <t>Інші дотації з місцевого бюджету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</si>
  <si>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</si>
  <si>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побутовими відходами (вивезення побутових відходів) та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з багатоквартирних будинків за індивідуальними договорами за рахунок відповідної субвенції з державного бюджету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</si>
  <si>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</si>
  <si>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сім’ям з дітьми, малозабезпеченим сім’ям,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 за рахунок відповідної субвенції з державного бюджету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</si>
  <si>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відповідної субвенції з державного бюджету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</si>
  <si>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</si>
  <si>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</si>
  <si>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Інші субвенції з місцевого бюджету</t>
  </si>
  <si>
    <t xml:space="preserve"> у тому числі: районним у місті бюджетам на фінансування проектів-переможців конкурсу місцевого розвитку "Громадський бюджет" у 2019 році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</si>
  <si>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початок бюджетного періоду</t>
  </si>
  <si>
    <t>Х</t>
  </si>
  <si>
    <t>Разом доходів</t>
  </si>
  <si>
    <t>Додаток 2</t>
  </si>
  <si>
    <t>Фінансування районного у місті бюджету на 2019 рік</t>
  </si>
  <si>
    <t xml:space="preserve"> </t>
  </si>
  <si>
    <t>Найменування згідно з Класифікацією фінансування бюджету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</si>
  <si>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</si>
  <si>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</si>
  <si>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</si>
  <si>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</si>
  <si>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 xml:space="preserve">На кінець періоду </t>
  </si>
  <si>
    <t>Кошти, що передаються із загального фонду бюджету до бюджету розвитку (спеціального фонду)</t>
  </si>
  <si>
    <t>Загальне фінансування</t>
  </si>
  <si>
    <t>Фінансування за типом боргового зобов'язання</t>
  </si>
  <si>
    <t>Фінансування за активними операціями</t>
  </si>
  <si>
    <t>Зміни обсягів бюджетних коштів</t>
  </si>
  <si>
    <t>На кінець періоду</t>
  </si>
  <si>
    <t>Додаток 3</t>
  </si>
  <si>
    <t xml:space="preserve">Розподіл видатків районного у місті бюджету на 2019 рік </t>
  </si>
  <si>
    <t xml:space="preserve">Код Програмної класифікації видатків та кредитування місцевих бюджетів </t>
  </si>
  <si>
    <t xml:space="preserve">Код Типової програмної класифікації видатків та кредитування місцевих бюджетів      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</si>
  <si>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</si>
  <si>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</si>
  <si>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Разом</t>
  </si>
  <si>
    <t>видатки споживання</t>
  </si>
  <si>
    <t>з них</t>
  </si>
  <si>
    <t>видатки розвитку</t>
  </si>
  <si>
    <t xml:space="preserve">видатки споживання
</t>
  </si>
  <si>
    <t xml:space="preserve">
оплата
праці
</t>
  </si>
  <si>
    <t>комунальні послуги та енергоносії</t>
  </si>
  <si>
    <t>0200000</t>
  </si>
  <si>
    <t>Виконавчий комітет Центрально-Міської районної у місті ради</t>
  </si>
  <si>
    <t>0210000</t>
  </si>
  <si>
    <t>0100</t>
  </si>
  <si>
    <t>Державне управління</t>
  </si>
  <si>
    <t>0210160</t>
  </si>
  <si>
    <t>0160</t>
  </si>
  <si>
    <t>0111</t>
  </si>
  <si>
    <t>Керівництво і управління у відповідній сфері у містах (місті Києві), селищах, селах, об'єднаних територіальних громадах</t>
  </si>
  <si>
    <t>0210170</t>
  </si>
  <si>
    <t>0170</t>
  </si>
  <si>
    <t>0131</t>
  </si>
  <si>
    <t>Підвищення кваліфікації депутатів місцевих рад та посадових осіб місцевого самоврядування</t>
  </si>
  <si>
    <t>3000</t>
  </si>
  <si>
    <t>Соціальний захист та соціальне забезпечення</t>
  </si>
  <si>
    <t>0213112</t>
  </si>
  <si>
    <t>3112</t>
  </si>
  <si>
    <t>1040</t>
  </si>
  <si>
    <t>Заходи державної політики з питань дітей та їх соціального захисту</t>
  </si>
  <si>
    <t>0213122</t>
  </si>
  <si>
    <t>3122</t>
  </si>
  <si>
    <t>Заходи державної політики із забезпечення рівних прав та можливостей жінок та чоловіків</t>
  </si>
  <si>
    <t>0213123</t>
  </si>
  <si>
    <t>3123</t>
  </si>
  <si>
    <t>Заходи державної політики з питань сім'ї</t>
  </si>
  <si>
    <t>0213131</t>
  </si>
  <si>
    <t>3131</t>
  </si>
  <si>
    <t>Здійснення заходів та реалізація проектів на виконання Державної цільової соціальної програми "Молодь України"</t>
  </si>
  <si>
    <t>0213140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</si>
  <si>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</si>
  <si>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</si>
  <si>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0213210</t>
  </si>
  <si>
    <t>3210</t>
  </si>
  <si>
    <t>1050</t>
  </si>
  <si>
    <t>Організація та проведення громадських робіт</t>
  </si>
  <si>
    <t>0213242</t>
  </si>
  <si>
    <t>3242</t>
  </si>
  <si>
    <t>1090</t>
  </si>
  <si>
    <t>Інші заходи у сфері соціального захисту і соціального забезпечення</t>
  </si>
  <si>
    <t>4000</t>
  </si>
  <si>
    <t>Культура і мистецтво</t>
  </si>
  <si>
    <t>0214082</t>
  </si>
  <si>
    <t>4082</t>
  </si>
  <si>
    <t>0829</t>
  </si>
  <si>
    <t>Інші заходи в галузі культури і мистецтва</t>
  </si>
  <si>
    <t>5000</t>
  </si>
  <si>
    <t>Фізична культура і спорт</t>
  </si>
  <si>
    <t>0215061</t>
  </si>
  <si>
    <t>5061</t>
  </si>
  <si>
    <t>0810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</si>
  <si>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</si>
  <si>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6000</t>
  </si>
  <si>
    <t>Житлово-комунальне господарство</t>
  </si>
  <si>
    <t>0216030</t>
  </si>
  <si>
    <t>6030</t>
  </si>
  <si>
    <t>0620</t>
  </si>
  <si>
    <t>Організація благоустрою населених пунктів</t>
  </si>
  <si>
    <t>0216090</t>
  </si>
  <si>
    <t>6090</t>
  </si>
  <si>
    <t>0640</t>
  </si>
  <si>
    <t>Інша діяльність у сфері житлово-комунального господарства</t>
  </si>
  <si>
    <t>7000</t>
  </si>
  <si>
    <t>Економічна діяльність</t>
  </si>
  <si>
    <t>0217363</t>
  </si>
  <si>
    <t>7363</t>
  </si>
  <si>
    <t>0490</t>
  </si>
  <si>
    <t>Виконання інвестиційних проектів в рамках здійснення заходів щодо соціально-економічного розвитку окремих територій</t>
  </si>
  <si>
    <t>0800000</t>
  </si>
  <si>
    <t xml:space="preserve">Управління праці та соціального захисту населення виконкому Центрально-Міської районної у місті ради </t>
  </si>
  <si>
    <t>0810000</t>
  </si>
  <si>
    <t>0813011</t>
  </si>
  <si>
    <t>3011</t>
  </si>
  <si>
    <t>1030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</si>
  <si>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</si>
  <si>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</si>
  <si>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3012</t>
  </si>
  <si>
    <t>1060</t>
  </si>
  <si>
    <t>Надання субсидій населенню для відшкодування витрат на оплату житлово-комунальних послуг</t>
  </si>
  <si>
    <t>0813021</t>
  </si>
  <si>
    <t>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</si>
  <si>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</si>
  <si>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0813022</t>
  </si>
  <si>
    <t>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</si>
  <si>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</si>
  <si>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0813041</t>
  </si>
  <si>
    <t>3041</t>
  </si>
  <si>
    <t>Надання допомоги у зв’язку з вагітністю і пологами</t>
  </si>
  <si>
    <t>0813042</t>
  </si>
  <si>
    <t>3042</t>
  </si>
  <si>
    <t>Надання допомоги при усиновленні дитини</t>
  </si>
  <si>
    <t>0813043</t>
  </si>
  <si>
    <t>3043</t>
  </si>
  <si>
    <t>Надання допомоги при народженні дитини</t>
  </si>
  <si>
    <t>0813044</t>
  </si>
  <si>
    <t>3044</t>
  </si>
  <si>
    <t>Надання допомоги на дітей, над якими встановлено опіку чи піклування</t>
  </si>
  <si>
    <t>0813045</t>
  </si>
  <si>
    <t>3045</t>
  </si>
  <si>
    <t>Надання допомоги на дітей одиноким матерям</t>
  </si>
  <si>
    <t>0813046</t>
  </si>
  <si>
    <t>3046</t>
  </si>
  <si>
    <t>Надання тимчасової державної допомоги дітям</t>
  </si>
  <si>
    <t>0813047</t>
  </si>
  <si>
    <t>3047</t>
  </si>
  <si>
    <t>Надання державної соціальної допомоги малозабезпеченим сім’ям</t>
  </si>
  <si>
    <t>0813049</t>
  </si>
  <si>
    <t>3049</t>
  </si>
  <si>
    <t>Відшкодування послуги з догляду за дитиною до трьох років “муніципальна няня”</t>
  </si>
  <si>
    <t>0813081</t>
  </si>
  <si>
    <t>3081</t>
  </si>
  <si>
    <t>1010</t>
  </si>
  <si>
    <t>Надання державної соціальної допомоги особам з інвалідністю з дитинства та дітям з інвалідністю</t>
  </si>
  <si>
    <t>0813082</t>
  </si>
  <si>
    <t>3082</t>
  </si>
  <si>
    <t>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</si>
  <si>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0813083</t>
  </si>
  <si>
    <t>3083</t>
  </si>
  <si>
    <t>Надання допомоги по догляду за особами з інвалідністю I чи II групи внаслідок психічного розладу</t>
  </si>
  <si>
    <t>0813084</t>
  </si>
  <si>
    <t>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</si>
  <si>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</si>
  <si>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0813085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</si>
  <si>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</si>
  <si>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</si>
  <si>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0813086</t>
  </si>
  <si>
    <t>3086</t>
  </si>
  <si>
    <t>Надання допомоги на дітей, хворих на тяжкі перинатальні ураження нервової системи, тяжкі вроджені вади розвитку, рідкісні орфанні захворювання, онкологічні, онкогематологічні захворювання, дитячий церебральний параліч, тяжкі психічні розлади, цукровий діабет I типу (інсулінозалежний), гострі або хронічні захворювання нирок IV ступеня, на дитину, яка отримала тяжку травму, потребує трансплантації органа, потребує паліативної допомоги, яким не встановлено інвалідність</t>
  </si>
  <si>
    <t>0813087</t>
  </si>
  <si>
    <t>3087</t>
  </si>
  <si>
    <t>Надання допомоги на дітей, які виховуються у багатодітних сім'ях</t>
  </si>
  <si>
    <t>0813104</t>
  </si>
  <si>
    <t>3104</t>
  </si>
  <si>
    <t>1020</t>
  </si>
  <si>
    <t xml:space="preserve">Забезпечення соціальними послугами за місцем проживання  громадян, які  не здатні до самообслуговування у зв’язку з похилим віком, хворобою, інвалідністю 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</si>
  <si>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</si>
  <si>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</si>
  <si>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</si>
  <si>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0813230</t>
  </si>
  <si>
    <t>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</si>
  <si>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вихователя, підтримку малих групових будинків</t>
  </si>
  <si>
    <t>0813242</t>
  </si>
  <si>
    <t>0816083</t>
  </si>
  <si>
    <t>6083</t>
  </si>
  <si>
    <t>0610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</si>
  <si>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</si>
  <si>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1400000</t>
  </si>
  <si>
    <t xml:space="preserve">Відділ з питань благоустрою та житлової політики виконкому Центрально-Міської районної у місті ради </t>
  </si>
  <si>
    <t>1410000</t>
  </si>
  <si>
    <t>1416030</t>
  </si>
  <si>
    <t>1417363</t>
  </si>
  <si>
    <t>УСЬОГО</t>
  </si>
  <si>
    <t>Додаток 4</t>
  </si>
  <si>
    <t>Міжбюджетні трансферти на 2019 рік</t>
  </si>
  <si>
    <t>Найменування бюджету - одержувача/надавача міжбюджетного трансферту</t>
  </si>
  <si>
    <t>Трансферти з інших місцевих бюджетів</t>
  </si>
  <si>
    <t>Трансферти іншим бюджетам</t>
  </si>
  <si>
    <t>дотація на:</t>
  </si>
  <si>
    <t>субвенції</t>
  </si>
  <si>
    <t>загального фонду на:</t>
  </si>
  <si>
    <t>спеціального фонду на:</t>
  </si>
  <si>
    <t>спеціаль-ного фонду на:</t>
  </si>
  <si>
    <t>найменування трансферту*</t>
  </si>
  <si>
    <t>найменування трансферту**</t>
  </si>
  <si>
    <t>інші дотації з місцевого бюджету</t>
  </si>
  <si>
    <t xml:space="preserve">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віку, за рахунок відповідної субвенції з державного бюджету </t>
  </si>
  <si>
    <t xml:space="preserve">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сім’ях за принципом «гроші ходять за дитиною», оплату послуг із здійснення патронату над дитиною та виплату соціальної допомоги на утримання дитини в сім’ї патронатного вихователя, підтримку малих групових будинків за рахунок відповідної субвенції з державного бюджету 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</si>
  <si>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</si>
  <si>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 xml:space="preserve"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побутовими відходами (вивезення побутових відходів) та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 за рахунок відповідної субвенції з державного бюджету </t>
  </si>
  <si>
    <t>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</si>
  <si>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фінансування проектів-переможців конкурсу місцевого розвитку «Громадський бюджет» у 2019 році</t>
  </si>
  <si>
    <t>здійснення заходів щодо соціально-економічного розвитку окремих територій за рахунок відповідної субвенції з державного бюджету</t>
  </si>
  <si>
    <t>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початок бюджетного періоду</t>
  </si>
  <si>
    <t>0420560000</t>
  </si>
  <si>
    <t>Міський бюджет</t>
  </si>
  <si>
    <t>Додаток 5</t>
  </si>
  <si>
    <t xml:space="preserve">до рішення районної </t>
  </si>
  <si>
    <t>Розподіл витрат районного у місті бюджету на реалізацію місцевих/регіональних програм у 2019 році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</si>
  <si>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</si>
  <si>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</si>
  <si>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Найменування місцевої/регіональної програми</t>
  </si>
  <si>
    <t>Дата та номер документа, яким затверджено місцеву програму</t>
  </si>
  <si>
    <t>Програма соціального захисту мешканців Центрально-Міського району на 2017-2019 роки</t>
  </si>
  <si>
    <t xml:space="preserve"> рішення районної у місті ради від 23.12.2016 № 119, зі змінами</t>
  </si>
  <si>
    <t>3200</t>
  </si>
  <si>
    <t>Районна програма захисту прав дітей "Щасливе дитинство - майбутнє суспільства" на 2016-2020 роки</t>
  </si>
  <si>
    <t>рішення районної у місті ради від 23.12.2016 № 118, зі змінами</t>
  </si>
  <si>
    <t>Програма реалізації молодіжної, сімейної та гендерної політики у Центрально-Міському районі на 2016-2020 роки</t>
  </si>
  <si>
    <t>рішення районної у місті ради від 23.12.2016 № 116, зі змінами</t>
  </si>
  <si>
    <r>
      <t>Програма реалізації заходів щодо оформлення та інвентаризації справ на нерухоме майно, державної реєстрації прав на нерухоме майно, яке визнане відумерлою спадщиною на 2017-2019 роки</t>
    </r>
    <r>
      <rPr>
        <sz val="24"/>
        <rFont val="Times New Roman"/>
        <family val="1"/>
      </rPr>
      <t xml:space="preserve"> </t>
    </r>
  </si>
  <si>
    <t>рішення районної у місті ради від 29.08.2017 № 177, зі змінами</t>
  </si>
  <si>
    <t xml:space="preserve">Програма розвитку культури і мистецтва у районі на 2017-2019 роки </t>
  </si>
  <si>
    <t>рішення районної у місті ради від 23.12.2016 № 115, зі змінами</t>
  </si>
  <si>
    <t xml:space="preserve">Програма розвитку фізичної культури і спорту у районі на 2017-2020 роки </t>
  </si>
  <si>
    <t>рішення районної у місті ради від 23.12.2016 № 117, зі змінами</t>
  </si>
  <si>
    <t xml:space="preserve">Програма соціально-економічного та культурного розвитку району на 2017-2019 роки </t>
  </si>
  <si>
    <t>рішення районної у місті ради від 23.12.2016 № 113, зі змінами</t>
  </si>
  <si>
    <t xml:space="preserve">Програма реалізації заходів по утриманню об'єктів благоустрою району на 2017-2019 роки </t>
  </si>
  <si>
    <t>рішення районної у місті ради від 23.12.2016 № 114, зі змінами</t>
  </si>
  <si>
    <r>
      <t>01.11.2019</t>
    </r>
    <r>
      <rPr>
        <i/>
        <sz val="38"/>
        <rFont val="Times New Roman"/>
        <family val="1"/>
      </rPr>
      <t xml:space="preserve"> № 355</t>
    </r>
  </si>
  <si>
    <r>
      <t>01.11.2019</t>
    </r>
    <r>
      <rPr>
        <i/>
        <sz val="16"/>
        <rFont val="Times New Roman"/>
        <family val="1"/>
      </rPr>
      <t xml:space="preserve"> № 355</t>
    </r>
  </si>
  <si>
    <r>
      <t>01.11.2019</t>
    </r>
    <r>
      <rPr>
        <i/>
        <sz val="50"/>
        <rFont val="Times New Roman"/>
        <family val="1"/>
      </rPr>
      <t xml:space="preserve"> №355</t>
    </r>
  </si>
  <si>
    <r>
      <t>01.11.2019</t>
    </r>
    <r>
      <rPr>
        <i/>
        <sz val="25"/>
        <rFont val="Times New Roman"/>
        <family val="1"/>
      </rPr>
      <t xml:space="preserve"> №355</t>
    </r>
  </si>
  <si>
    <r>
      <t>01.11.2019</t>
    </r>
    <r>
      <rPr>
        <i/>
        <sz val="38"/>
        <rFont val="Times New Roman"/>
        <family val="1"/>
      </rPr>
      <t xml:space="preserve"> №355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</si>
</sst>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85">
    <font>
      <sz val="10"/>
      <name val="Arial"/>
      <family val="2"/>
    </font>
    <font>
      <sz val="10"/>
      <name val="Bookman Old Style"/>
      <family val="1"/>
    </font>
    <font>
      <i/>
      <sz val="38"/>
      <name val="Times New Roman"/>
      <family val="1"/>
    </font>
    <font>
      <i/>
      <sz val="30"/>
      <name val="Times New Roman"/>
      <family val="1"/>
    </font>
    <font>
      <i/>
      <sz val="10"/>
      <name val="Bookman Old Style"/>
      <family val="1"/>
    </font>
    <font>
      <sz val="12"/>
      <name val="Bookman Old Style"/>
      <family val="1"/>
    </font>
    <font>
      <i/>
      <u val="single"/>
      <sz val="38"/>
      <name val="Times New Roman"/>
      <family val="1"/>
    </font>
    <font>
      <b/>
      <i/>
      <sz val="12"/>
      <name val="Bookman Old Style"/>
      <family val="1"/>
    </font>
    <font>
      <b/>
      <i/>
      <u val="single"/>
      <sz val="30"/>
      <name val="Times New Roman"/>
      <family val="1"/>
    </font>
    <font>
      <b/>
      <i/>
      <sz val="10"/>
      <name val="Bookman Old Style"/>
      <family val="1"/>
    </font>
    <font>
      <b/>
      <i/>
      <sz val="40"/>
      <name val="Times New Roman"/>
      <family val="1"/>
    </font>
    <font>
      <sz val="23"/>
      <name val="Times New Roman"/>
      <family val="1"/>
    </font>
    <font>
      <b/>
      <sz val="24"/>
      <name val="Times New Roman"/>
      <family val="1"/>
    </font>
    <font>
      <sz val="24"/>
      <name val="Times New Roman"/>
      <family val="1"/>
    </font>
    <font>
      <sz val="20"/>
      <name val="Bookman Old Style"/>
      <family val="1"/>
    </font>
    <font>
      <sz val="30"/>
      <name val="Bookman Old Style"/>
      <family val="1"/>
    </font>
    <font>
      <sz val="15"/>
      <name val="Bookman Old Style"/>
      <family val="1"/>
    </font>
    <font>
      <sz val="22"/>
      <name val="Bookman Old Style"/>
      <family val="1"/>
    </font>
    <font>
      <b/>
      <i/>
      <sz val="40"/>
      <name val="Bookman Old Style"/>
      <family val="1"/>
    </font>
    <font>
      <i/>
      <sz val="16"/>
      <name val="Times New Roman"/>
      <family val="1"/>
    </font>
    <font>
      <sz val="14"/>
      <name val="Bookman Old Style"/>
      <family val="1"/>
    </font>
    <font>
      <sz val="16"/>
      <name val="Bookman Old Style"/>
      <family val="1"/>
    </font>
    <font>
      <i/>
      <u val="single"/>
      <sz val="16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i/>
      <sz val="1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0"/>
      <name val="Bookman Old Style"/>
      <family val="1"/>
    </font>
    <font>
      <i/>
      <sz val="50"/>
      <name val="Times New Roman"/>
      <family val="1"/>
    </font>
    <font>
      <i/>
      <u val="single"/>
      <sz val="50"/>
      <name val="Times New Roman"/>
      <family val="1"/>
    </font>
    <font>
      <b/>
      <i/>
      <u val="single"/>
      <sz val="50"/>
      <name val="Times New Roman"/>
      <family val="1"/>
    </font>
    <font>
      <b/>
      <i/>
      <sz val="50"/>
      <name val="Times New Roman"/>
      <family val="1"/>
    </font>
    <font>
      <b/>
      <sz val="14"/>
      <name val="Bookman Old Style"/>
      <family val="1"/>
    </font>
    <font>
      <sz val="22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24"/>
      <color indexed="8"/>
      <name val="Times New Roman"/>
      <family val="1"/>
    </font>
    <font>
      <sz val="15"/>
      <name val="Times New Roman"/>
      <family val="1"/>
    </font>
    <font>
      <sz val="13"/>
      <name val="Bookman Old Style"/>
      <family val="1"/>
    </font>
    <font>
      <sz val="10"/>
      <name val="Times New Roman"/>
      <family val="1"/>
    </font>
    <font>
      <i/>
      <sz val="25"/>
      <name val="Times New Roman"/>
      <family val="1"/>
    </font>
    <font>
      <b/>
      <sz val="8"/>
      <color indexed="8"/>
      <name val="Times New Roman"/>
      <family val="1"/>
    </font>
    <font>
      <i/>
      <u val="single"/>
      <sz val="25"/>
      <name val="Times New Roman"/>
      <family val="1"/>
    </font>
    <font>
      <b/>
      <i/>
      <sz val="30"/>
      <name val="Times New Roman"/>
      <family val="1"/>
    </font>
    <font>
      <sz val="17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8"/>
      <name val="Times New Roman"/>
      <family val="1"/>
    </font>
    <font>
      <sz val="30"/>
      <name val="Times New Roman"/>
      <family val="1"/>
    </font>
    <font>
      <b/>
      <sz val="10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1" applyNumberFormat="0" applyAlignment="0" applyProtection="0"/>
    <xf numFmtId="0" fontId="71" fillId="27" borderId="2" applyNumberFormat="0" applyAlignment="0" applyProtection="0"/>
    <xf numFmtId="0" fontId="72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77" fillId="28" borderId="7" applyNumberFormat="0" applyAlignment="0" applyProtection="0"/>
    <xf numFmtId="0" fontId="78" fillId="0" borderId="0" applyNumberFormat="0" applyFill="0" applyBorder="0" applyAlignment="0" applyProtection="0"/>
    <xf numFmtId="0" fontId="7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0" fillId="30" borderId="0" applyNumberFormat="0" applyBorder="0" applyAlignment="0" applyProtection="0"/>
    <xf numFmtId="0" fontId="8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84" fillId="32" borderId="0" applyNumberFormat="0" applyBorder="0" applyAlignment="0" applyProtection="0"/>
  </cellStyleXfs>
  <cellXfs count="223">
    <xf numFmtId="0" fontId="0" fillId="0" borderId="0" xfId="0" applyAlignment="1">
      <alignment/>
    </xf>
    <xf numFmtId="0" fontId="1" fillId="0" borderId="0" xfId="53" applyFont="1">
      <alignment/>
      <protection/>
    </xf>
    <xf numFmtId="0" fontId="2" fillId="0" borderId="0" xfId="55" applyFont="1" applyAlignment="1">
      <alignment horizontal="left"/>
      <protection/>
    </xf>
    <xf numFmtId="0" fontId="3" fillId="0" borderId="0" xfId="53" applyFont="1" applyAlignment="1">
      <alignment horizontal="left"/>
      <protection/>
    </xf>
    <xf numFmtId="0" fontId="4" fillId="0" borderId="0" xfId="53" applyFont="1">
      <alignment/>
      <protection/>
    </xf>
    <xf numFmtId="0" fontId="5" fillId="0" borderId="0" xfId="53" applyFont="1" applyAlignment="1">
      <alignment horizontal="left" indent="15"/>
      <protection/>
    </xf>
    <xf numFmtId="0" fontId="5" fillId="0" borderId="0" xfId="53" applyFont="1">
      <alignment/>
      <protection/>
    </xf>
    <xf numFmtId="0" fontId="7" fillId="0" borderId="0" xfId="53" applyFont="1">
      <alignment/>
      <protection/>
    </xf>
    <xf numFmtId="0" fontId="8" fillId="0" borderId="0" xfId="53" applyFont="1" applyAlignment="1">
      <alignment horizontal="left"/>
      <protection/>
    </xf>
    <xf numFmtId="0" fontId="9" fillId="0" borderId="0" xfId="53" applyFont="1">
      <alignment/>
      <protection/>
    </xf>
    <xf numFmtId="0" fontId="11" fillId="0" borderId="0" xfId="53" applyFont="1" applyAlignment="1">
      <alignment horizontal="right"/>
      <protection/>
    </xf>
    <xf numFmtId="0" fontId="12" fillId="0" borderId="10" xfId="53" applyFont="1" applyBorder="1" applyAlignment="1">
      <alignment horizontal="center" vertical="center"/>
      <protection/>
    </xf>
    <xf numFmtId="0" fontId="12" fillId="0" borderId="10" xfId="53" applyFont="1" applyBorder="1" applyAlignment="1">
      <alignment horizontal="center" vertical="center" wrapText="1"/>
      <protection/>
    </xf>
    <xf numFmtId="0" fontId="5" fillId="0" borderId="0" xfId="53" applyFont="1" applyAlignment="1">
      <alignment wrapText="1"/>
      <protection/>
    </xf>
    <xf numFmtId="0" fontId="13" fillId="0" borderId="10" xfId="53" applyFont="1" applyBorder="1" applyAlignment="1">
      <alignment horizontal="center" vertical="center"/>
      <protection/>
    </xf>
    <xf numFmtId="0" fontId="13" fillId="0" borderId="10" xfId="53" applyFont="1" applyBorder="1" applyAlignment="1">
      <alignment horizontal="center" vertical="center" wrapText="1"/>
      <protection/>
    </xf>
    <xf numFmtId="0" fontId="14" fillId="0" borderId="0" xfId="53" applyFont="1">
      <alignment/>
      <protection/>
    </xf>
    <xf numFmtId="0" fontId="12" fillId="0" borderId="10" xfId="53" applyFont="1" applyBorder="1" applyAlignment="1">
      <alignment horizontal="left" vertical="center" wrapText="1"/>
      <protection/>
    </xf>
    <xf numFmtId="4" fontId="12" fillId="0" borderId="10" xfId="53" applyNumberFormat="1" applyFont="1" applyBorder="1" applyAlignment="1">
      <alignment horizontal="right" vertical="center" wrapText="1"/>
      <protection/>
    </xf>
    <xf numFmtId="0" fontId="13" fillId="0" borderId="10" xfId="53" applyFont="1" applyBorder="1" applyAlignment="1">
      <alignment horizontal="left" vertical="center" wrapText="1"/>
      <protection/>
    </xf>
    <xf numFmtId="4" fontId="13" fillId="0" borderId="10" xfId="53" applyNumberFormat="1" applyFont="1" applyBorder="1" applyAlignment="1">
      <alignment horizontal="right" vertical="center" wrapText="1"/>
      <protection/>
    </xf>
    <xf numFmtId="4" fontId="13" fillId="33" borderId="10" xfId="53" applyNumberFormat="1" applyFont="1" applyFill="1" applyBorder="1" applyAlignment="1">
      <alignment horizontal="right" vertical="center" wrapText="1"/>
      <protection/>
    </xf>
    <xf numFmtId="4" fontId="12" fillId="0" borderId="10" xfId="53" applyNumberFormat="1" applyFont="1" applyBorder="1" applyAlignment="1">
      <alignment horizontal="left" vertical="center" wrapText="1"/>
      <protection/>
    </xf>
    <xf numFmtId="4" fontId="13" fillId="0" borderId="10" xfId="53" applyNumberFormat="1" applyFont="1" applyBorder="1" applyAlignment="1">
      <alignment horizontal="left" vertical="center" wrapText="1"/>
      <protection/>
    </xf>
    <xf numFmtId="4" fontId="15" fillId="0" borderId="0" xfId="53" applyNumberFormat="1" applyFont="1">
      <alignment/>
      <protection/>
    </xf>
    <xf numFmtId="0" fontId="13" fillId="0" borderId="10" xfId="0" applyFont="1" applyBorder="1" applyAlignment="1">
      <alignment horizontal="left" vertical="center" wrapText="1"/>
    </xf>
    <xf numFmtId="0" fontId="13" fillId="33" borderId="10" xfId="53" applyFont="1" applyFill="1" applyBorder="1" applyAlignment="1">
      <alignment horizontal="center" vertical="center"/>
      <protection/>
    </xf>
    <xf numFmtId="0" fontId="13" fillId="33" borderId="10" xfId="0" applyFont="1" applyFill="1" applyBorder="1" applyAlignment="1">
      <alignment horizontal="left" vertical="center" wrapText="1"/>
    </xf>
    <xf numFmtId="0" fontId="13" fillId="0" borderId="10" xfId="54" applyFont="1" applyBorder="1" applyAlignment="1">
      <alignment horizontal="left" vertical="center" wrapText="1"/>
      <protection/>
    </xf>
    <xf numFmtId="0" fontId="13" fillId="0" borderId="10" xfId="0" applyFont="1" applyBorder="1" applyAlignment="1">
      <alignment horizontal="left" vertical="top" wrapText="1"/>
    </xf>
    <xf numFmtId="0" fontId="16" fillId="0" borderId="0" xfId="53" applyFont="1">
      <alignment/>
      <protection/>
    </xf>
    <xf numFmtId="0" fontId="17" fillId="0" borderId="0" xfId="53" applyFont="1">
      <alignment/>
      <protection/>
    </xf>
    <xf numFmtId="4" fontId="17" fillId="0" borderId="0" xfId="53" applyNumberFormat="1" applyFont="1">
      <alignment/>
      <protection/>
    </xf>
    <xf numFmtId="0" fontId="10" fillId="0" borderId="0" xfId="53" applyFont="1">
      <alignment/>
      <protection/>
    </xf>
    <xf numFmtId="0" fontId="18" fillId="0" borderId="0" xfId="53" applyFont="1">
      <alignment/>
      <protection/>
    </xf>
    <xf numFmtId="4" fontId="18" fillId="0" borderId="0" xfId="53" applyNumberFormat="1" applyFont="1">
      <alignment/>
      <protection/>
    </xf>
    <xf numFmtId="4" fontId="10" fillId="0" borderId="0" xfId="53" applyNumberFormat="1" applyFont="1">
      <alignment/>
      <protection/>
    </xf>
    <xf numFmtId="0" fontId="1" fillId="0" borderId="0" xfId="0" applyFont="1" applyAlignment="1">
      <alignment/>
    </xf>
    <xf numFmtId="0" fontId="19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left"/>
    </xf>
    <xf numFmtId="0" fontId="24" fillId="0" borderId="0" xfId="0" applyFont="1" applyAlignment="1">
      <alignment/>
    </xf>
    <xf numFmtId="0" fontId="24" fillId="0" borderId="0" xfId="0" applyFont="1" applyAlignment="1">
      <alignment horizontal="right"/>
    </xf>
    <xf numFmtId="0" fontId="26" fillId="0" borderId="10" xfId="0" applyFont="1" applyBorder="1" applyAlignment="1">
      <alignment horizontal="center" vertical="center" wrapText="1"/>
    </xf>
    <xf numFmtId="0" fontId="2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27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6" fillId="0" borderId="10" xfId="0" applyFont="1" applyBorder="1" applyAlignment="1">
      <alignment horizontal="left" vertical="center" wrapText="1"/>
    </xf>
    <xf numFmtId="3" fontId="26" fillId="0" borderId="10" xfId="0" applyNumberFormat="1" applyFont="1" applyBorder="1" applyAlignment="1">
      <alignment horizontal="right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left" vertical="center" wrapText="1"/>
    </xf>
    <xf numFmtId="3" fontId="24" fillId="0" borderId="10" xfId="0" applyNumberFormat="1" applyFont="1" applyBorder="1" applyAlignment="1">
      <alignment horizontal="right" vertical="center" wrapText="1"/>
    </xf>
    <xf numFmtId="4" fontId="24" fillId="0" borderId="10" xfId="0" applyNumberFormat="1" applyFont="1" applyBorder="1" applyAlignment="1">
      <alignment horizontal="right" vertical="center" wrapText="1"/>
    </xf>
    <xf numFmtId="4" fontId="24" fillId="0" borderId="10" xfId="0" applyNumberFormat="1" applyFont="1" applyFill="1" applyBorder="1" applyAlignment="1">
      <alignment horizontal="right" vertical="center" wrapText="1"/>
    </xf>
    <xf numFmtId="3" fontId="24" fillId="0" borderId="10" xfId="0" applyNumberFormat="1" applyFont="1" applyFill="1" applyBorder="1" applyAlignment="1">
      <alignment horizontal="right" vertical="center" wrapText="1"/>
    </xf>
    <xf numFmtId="0" fontId="26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8" fillId="0" borderId="0" xfId="0" applyFont="1" applyAlignment="1">
      <alignment/>
    </xf>
    <xf numFmtId="4" fontId="24" fillId="0" borderId="11" xfId="0" applyNumberFormat="1" applyFont="1" applyBorder="1" applyAlignment="1">
      <alignment horizontal="right" vertical="center" wrapText="1"/>
    </xf>
    <xf numFmtId="3" fontId="24" fillId="0" borderId="11" xfId="0" applyNumberFormat="1" applyFont="1" applyBorder="1" applyAlignment="1">
      <alignment horizontal="right" vertical="center" wrapText="1"/>
    </xf>
    <xf numFmtId="0" fontId="24" fillId="0" borderId="12" xfId="0" applyFont="1" applyBorder="1" applyAlignment="1">
      <alignment horizontal="left" vertical="center" wrapText="1"/>
    </xf>
    <xf numFmtId="0" fontId="26" fillId="0" borderId="12" xfId="0" applyFont="1" applyBorder="1" applyAlignment="1">
      <alignment horizontal="left" vertical="center" wrapText="1"/>
    </xf>
    <xf numFmtId="3" fontId="26" fillId="0" borderId="10" xfId="0" applyNumberFormat="1" applyFont="1" applyBorder="1" applyAlignment="1">
      <alignment/>
    </xf>
    <xf numFmtId="0" fontId="1" fillId="0" borderId="0" xfId="55" applyFont="1">
      <alignment/>
      <protection/>
    </xf>
    <xf numFmtId="0" fontId="29" fillId="0" borderId="0" xfId="55" applyFont="1" applyAlignment="1">
      <alignment horizontal="left"/>
      <protection/>
    </xf>
    <xf numFmtId="0" fontId="20" fillId="0" borderId="0" xfId="55" applyFont="1" applyAlignment="1">
      <alignment horizontal="left"/>
      <protection/>
    </xf>
    <xf numFmtId="0" fontId="30" fillId="0" borderId="0" xfId="55" applyFont="1" applyAlignment="1">
      <alignment horizontal="left"/>
      <protection/>
    </xf>
    <xf numFmtId="0" fontId="31" fillId="0" borderId="0" xfId="55" applyFont="1" applyAlignment="1">
      <alignment horizontal="left"/>
      <protection/>
    </xf>
    <xf numFmtId="0" fontId="1" fillId="0" borderId="0" xfId="55" applyFont="1" applyAlignment="1">
      <alignment horizontal="left"/>
      <protection/>
    </xf>
    <xf numFmtId="0" fontId="33" fillId="0" borderId="0" xfId="55" applyFont="1" applyBorder="1" applyAlignment="1">
      <alignment horizontal="center"/>
      <protection/>
    </xf>
    <xf numFmtId="0" fontId="15" fillId="0" borderId="0" xfId="55" applyFont="1" applyBorder="1" applyAlignment="1">
      <alignment horizontal="center" vertical="center"/>
      <protection/>
    </xf>
    <xf numFmtId="0" fontId="34" fillId="0" borderId="10" xfId="55" applyFont="1" applyBorder="1" applyAlignment="1">
      <alignment horizontal="center" vertical="center" wrapText="1"/>
      <protection/>
    </xf>
    <xf numFmtId="0" fontId="35" fillId="0" borderId="0" xfId="55" applyFont="1">
      <alignment/>
      <protection/>
    </xf>
    <xf numFmtId="0" fontId="34" fillId="0" borderId="10" xfId="55" applyFont="1" applyBorder="1" applyAlignment="1">
      <alignment horizontal="center" vertical="center"/>
      <protection/>
    </xf>
    <xf numFmtId="49" fontId="12" fillId="0" borderId="10" xfId="55" applyNumberFormat="1" applyFont="1" applyBorder="1" applyAlignment="1">
      <alignment horizontal="center" vertical="center"/>
      <protection/>
    </xf>
    <xf numFmtId="49" fontId="13" fillId="0" borderId="10" xfId="55" applyNumberFormat="1" applyFont="1" applyBorder="1" applyAlignment="1">
      <alignment horizontal="center" vertical="center"/>
      <protection/>
    </xf>
    <xf numFmtId="0" fontId="12" fillId="0" borderId="10" xfId="55" applyFont="1" applyBorder="1" applyAlignment="1">
      <alignment horizontal="left" vertical="center" wrapText="1"/>
      <protection/>
    </xf>
    <xf numFmtId="4" fontId="12" fillId="0" borderId="10" xfId="55" applyNumberFormat="1" applyFont="1" applyBorder="1" applyAlignment="1">
      <alignment horizontal="right" vertical="center"/>
      <protection/>
    </xf>
    <xf numFmtId="0" fontId="13" fillId="0" borderId="10" xfId="55" applyFont="1" applyBorder="1" applyAlignment="1">
      <alignment horizontal="left" vertical="center" wrapText="1"/>
      <protection/>
    </xf>
    <xf numFmtId="4" fontId="13" fillId="0" borderId="10" xfId="55" applyNumberFormat="1" applyFont="1" applyBorder="1" applyAlignment="1">
      <alignment horizontal="right" vertical="center"/>
      <protection/>
    </xf>
    <xf numFmtId="0" fontId="36" fillId="0" borderId="0" xfId="55" applyFont="1">
      <alignment/>
      <protection/>
    </xf>
    <xf numFmtId="49" fontId="13" fillId="33" borderId="10" xfId="55" applyNumberFormat="1" applyFont="1" applyFill="1" applyBorder="1" applyAlignment="1">
      <alignment horizontal="center" vertical="center"/>
      <protection/>
    </xf>
    <xf numFmtId="0" fontId="13" fillId="33" borderId="10" xfId="55" applyFont="1" applyFill="1" applyBorder="1" applyAlignment="1">
      <alignment horizontal="left" vertical="center" wrapText="1"/>
      <protection/>
    </xf>
    <xf numFmtId="4" fontId="13" fillId="33" borderId="10" xfId="55" applyNumberFormat="1" applyFont="1" applyFill="1" applyBorder="1" applyAlignment="1">
      <alignment horizontal="right" vertical="center"/>
      <protection/>
    </xf>
    <xf numFmtId="0" fontId="35" fillId="34" borderId="0" xfId="55" applyFont="1" applyFill="1">
      <alignment/>
      <protection/>
    </xf>
    <xf numFmtId="49" fontId="13" fillId="0" borderId="10" xfId="55" applyNumberFormat="1" applyFont="1" applyFill="1" applyBorder="1" applyAlignment="1">
      <alignment horizontal="center" vertical="center"/>
      <protection/>
    </xf>
    <xf numFmtId="4" fontId="13" fillId="0" borderId="10" xfId="55" applyNumberFormat="1" applyFont="1" applyFill="1" applyBorder="1" applyAlignment="1">
      <alignment horizontal="right" vertical="center"/>
      <protection/>
    </xf>
    <xf numFmtId="49" fontId="12" fillId="0" borderId="10" xfId="55" applyNumberFormat="1" applyFont="1" applyFill="1" applyBorder="1" applyAlignment="1">
      <alignment horizontal="center" vertical="center"/>
      <protection/>
    </xf>
    <xf numFmtId="0" fontId="12" fillId="33" borderId="10" xfId="55" applyFont="1" applyFill="1" applyBorder="1" applyAlignment="1">
      <alignment horizontal="left" vertical="center" wrapText="1"/>
      <protection/>
    </xf>
    <xf numFmtId="0" fontId="13" fillId="0" borderId="10" xfId="55" applyFont="1" applyFill="1" applyBorder="1" applyAlignment="1">
      <alignment horizontal="left" vertical="center" wrapText="1"/>
      <protection/>
    </xf>
    <xf numFmtId="4" fontId="12" fillId="33" borderId="10" xfId="55" applyNumberFormat="1" applyFont="1" applyFill="1" applyBorder="1" applyAlignment="1">
      <alignment horizontal="right" vertical="center"/>
      <protection/>
    </xf>
    <xf numFmtId="49" fontId="13" fillId="0" borderId="10" xfId="55" applyNumberFormat="1" applyFont="1" applyBorder="1" applyAlignment="1">
      <alignment horizontal="center" vertical="center" wrapText="1"/>
      <protection/>
    </xf>
    <xf numFmtId="0" fontId="37" fillId="0" borderId="10" xfId="55" applyFont="1" applyBorder="1" applyAlignment="1">
      <alignment horizontal="left" vertical="center"/>
      <protection/>
    </xf>
    <xf numFmtId="0" fontId="37" fillId="0" borderId="10" xfId="55" applyFont="1" applyBorder="1" applyAlignment="1">
      <alignment horizontal="left" vertical="center" wrapText="1"/>
      <protection/>
    </xf>
    <xf numFmtId="4" fontId="38" fillId="0" borderId="10" xfId="55" applyNumberFormat="1" applyFont="1" applyBorder="1" applyAlignment="1">
      <alignment horizontal="right" vertical="center"/>
      <protection/>
    </xf>
    <xf numFmtId="49" fontId="13" fillId="33" borderId="10" xfId="55" applyNumberFormat="1" applyFont="1" applyFill="1" applyBorder="1" applyAlignment="1">
      <alignment horizontal="center" vertical="center" wrapText="1"/>
      <protection/>
    </xf>
    <xf numFmtId="0" fontId="36" fillId="33" borderId="0" xfId="55" applyFont="1" applyFill="1">
      <alignment/>
      <protection/>
    </xf>
    <xf numFmtId="49" fontId="12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 wrapText="1"/>
    </xf>
    <xf numFmtId="49" fontId="13" fillId="0" borderId="10" xfId="0" applyNumberFormat="1" applyFont="1" applyBorder="1" applyAlignment="1">
      <alignment horizontal="center" vertical="center"/>
    </xf>
    <xf numFmtId="49" fontId="12" fillId="0" borderId="10" xfId="55" applyNumberFormat="1" applyFont="1" applyBorder="1" applyAlignment="1">
      <alignment horizontal="center" vertical="center" wrapText="1"/>
      <protection/>
    </xf>
    <xf numFmtId="49" fontId="13" fillId="0" borderId="13" xfId="55" applyNumberFormat="1" applyFont="1" applyBorder="1" applyAlignment="1">
      <alignment horizontal="center" vertical="center"/>
      <protection/>
    </xf>
    <xf numFmtId="0" fontId="13" fillId="0" borderId="0" xfId="55" applyFont="1" applyBorder="1" applyAlignment="1">
      <alignment horizontal="center" vertical="center"/>
      <protection/>
    </xf>
    <xf numFmtId="0" fontId="39" fillId="0" borderId="0" xfId="55" applyFont="1">
      <alignment/>
      <protection/>
    </xf>
    <xf numFmtId="0" fontId="39" fillId="0" borderId="0" xfId="55" applyFont="1" applyAlignment="1">
      <alignment horizontal="center" vertical="center"/>
      <protection/>
    </xf>
    <xf numFmtId="0" fontId="14" fillId="0" borderId="0" xfId="55" applyFont="1">
      <alignment/>
      <protection/>
    </xf>
    <xf numFmtId="0" fontId="14" fillId="0" borderId="0" xfId="55" applyFont="1" applyAlignment="1">
      <alignment horizontal="center" vertical="center"/>
      <protection/>
    </xf>
    <xf numFmtId="0" fontId="1" fillId="0" borderId="0" xfId="55" applyFont="1" applyAlignment="1">
      <alignment horizontal="center" vertical="center"/>
      <protection/>
    </xf>
    <xf numFmtId="0" fontId="40" fillId="0" borderId="0" xfId="0" applyFont="1" applyAlignment="1">
      <alignment/>
    </xf>
    <xf numFmtId="0" fontId="41" fillId="0" borderId="0" xfId="55" applyFont="1" applyAlignment="1">
      <alignment horizontal="left"/>
      <protection/>
    </xf>
    <xf numFmtId="0" fontId="42" fillId="0" borderId="0" xfId="0" applyFont="1" applyAlignment="1">
      <alignment horizontal="right"/>
    </xf>
    <xf numFmtId="0" fontId="43" fillId="0" borderId="0" xfId="55" applyFont="1" applyAlignment="1">
      <alignment horizontal="left"/>
      <protection/>
    </xf>
    <xf numFmtId="0" fontId="40" fillId="0" borderId="0" xfId="0" applyFont="1" applyAlignment="1">
      <alignment horizontal="center"/>
    </xf>
    <xf numFmtId="0" fontId="40" fillId="0" borderId="0" xfId="0" applyFont="1" applyAlignment="1">
      <alignment horizontal="right"/>
    </xf>
    <xf numFmtId="0" fontId="44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/>
    </xf>
    <xf numFmtId="0" fontId="45" fillId="33" borderId="10" xfId="0" applyFont="1" applyFill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27" fillId="33" borderId="10" xfId="0" applyFont="1" applyFill="1" applyBorder="1" applyAlignment="1">
      <alignment horizontal="center" vertical="center" wrapText="1"/>
    </xf>
    <xf numFmtId="0" fontId="45" fillId="33" borderId="14" xfId="0" applyFont="1" applyFill="1" applyBorder="1" applyAlignment="1">
      <alignment horizontal="center" vertical="center" wrapText="1"/>
    </xf>
    <xf numFmtId="0" fontId="27" fillId="33" borderId="0" xfId="0" applyFont="1" applyFill="1" applyAlignment="1">
      <alignment/>
    </xf>
    <xf numFmtId="49" fontId="46" fillId="33" borderId="11" xfId="0" applyNumberFormat="1" applyFont="1" applyFill="1" applyBorder="1" applyAlignment="1">
      <alignment horizontal="center" vertical="center"/>
    </xf>
    <xf numFmtId="49" fontId="46" fillId="0" borderId="11" xfId="0" applyNumberFormat="1" applyFont="1" applyBorder="1" applyAlignment="1">
      <alignment horizontal="left" vertical="center" wrapText="1"/>
    </xf>
    <xf numFmtId="4" fontId="46" fillId="0" borderId="11" xfId="0" applyNumberFormat="1" applyFont="1" applyBorder="1" applyAlignment="1">
      <alignment horizontal="right" vertical="center"/>
    </xf>
    <xf numFmtId="4" fontId="46" fillId="0" borderId="11" xfId="0" applyNumberFormat="1" applyFont="1" applyBorder="1" applyAlignment="1">
      <alignment horizontal="right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left" vertical="center"/>
    </xf>
    <xf numFmtId="4" fontId="47" fillId="0" borderId="10" xfId="0" applyNumberFormat="1" applyFont="1" applyBorder="1" applyAlignment="1">
      <alignment horizontal="right" vertical="center"/>
    </xf>
    <xf numFmtId="0" fontId="47" fillId="0" borderId="0" xfId="0" applyFont="1" applyAlignment="1">
      <alignment/>
    </xf>
    <xf numFmtId="0" fontId="38" fillId="0" borderId="0" xfId="0" applyFont="1" applyAlignment="1">
      <alignment/>
    </xf>
    <xf numFmtId="0" fontId="46" fillId="0" borderId="0" xfId="0" applyFont="1" applyAlignment="1">
      <alignment/>
    </xf>
    <xf numFmtId="0" fontId="2" fillId="0" borderId="0" xfId="0" applyFont="1" applyAlignment="1">
      <alignment horizontal="left"/>
    </xf>
    <xf numFmtId="0" fontId="40" fillId="0" borderId="0" xfId="0" applyFont="1" applyAlignment="1">
      <alignment/>
    </xf>
    <xf numFmtId="0" fontId="6" fillId="0" borderId="0" xfId="0" applyFont="1" applyAlignment="1">
      <alignment horizontal="left"/>
    </xf>
    <xf numFmtId="0" fontId="26" fillId="0" borderId="0" xfId="0" applyFont="1" applyAlignment="1">
      <alignment/>
    </xf>
    <xf numFmtId="0" fontId="48" fillId="0" borderId="0" xfId="0" applyFont="1" applyAlignment="1">
      <alignment horizontal="right"/>
    </xf>
    <xf numFmtId="0" fontId="49" fillId="0" borderId="0" xfId="0" applyFont="1" applyAlignment="1">
      <alignment horizontal="center"/>
    </xf>
    <xf numFmtId="0" fontId="12" fillId="0" borderId="10" xfId="0" applyFont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13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center" vertical="top" wrapText="1"/>
    </xf>
    <xf numFmtId="3" fontId="12" fillId="0" borderId="10" xfId="0" applyNumberFormat="1" applyFont="1" applyBorder="1" applyAlignment="1">
      <alignment horizontal="right" vertical="center" wrapText="1"/>
    </xf>
    <xf numFmtId="3" fontId="13" fillId="0" borderId="10" xfId="0" applyNumberFormat="1" applyFont="1" applyBorder="1" applyAlignment="1">
      <alignment horizontal="right" vertical="center" wrapText="1"/>
    </xf>
    <xf numFmtId="3" fontId="13" fillId="0" borderId="10" xfId="0" applyNumberFormat="1" applyFont="1" applyBorder="1" applyAlignment="1">
      <alignment horizontal="right" vertical="center"/>
    </xf>
    <xf numFmtId="3" fontId="12" fillId="0" borderId="10" xfId="0" applyNumberFormat="1" applyFont="1" applyBorder="1" applyAlignment="1">
      <alignment horizontal="right" vertical="center"/>
    </xf>
    <xf numFmtId="3" fontId="12" fillId="0" borderId="10" xfId="0" applyNumberFormat="1" applyFont="1" applyFill="1" applyBorder="1" applyAlignment="1">
      <alignment horizontal="right" vertical="center" wrapText="1"/>
    </xf>
    <xf numFmtId="49" fontId="13" fillId="33" borderId="10" xfId="0" applyNumberFormat="1" applyFont="1" applyFill="1" applyBorder="1" applyAlignment="1">
      <alignment horizontal="center" vertical="center"/>
    </xf>
    <xf numFmtId="3" fontId="13" fillId="33" borderId="10" xfId="0" applyNumberFormat="1" applyFont="1" applyFill="1" applyBorder="1" applyAlignment="1">
      <alignment horizontal="right" vertical="center" wrapText="1"/>
    </xf>
    <xf numFmtId="0" fontId="40" fillId="34" borderId="0" xfId="0" applyFont="1" applyFill="1" applyAlignment="1">
      <alignment/>
    </xf>
    <xf numFmtId="0" fontId="12" fillId="0" borderId="10" xfId="0" applyFont="1" applyFill="1" applyBorder="1" applyAlignment="1">
      <alignment horizontal="center" vertical="center" wrapText="1"/>
    </xf>
    <xf numFmtId="0" fontId="40" fillId="35" borderId="0" xfId="0" applyFont="1" applyFill="1" applyAlignment="1">
      <alignment/>
    </xf>
    <xf numFmtId="0" fontId="13" fillId="33" borderId="10" xfId="0" applyFont="1" applyFill="1" applyBorder="1" applyAlignment="1">
      <alignment horizontal="center" vertical="center"/>
    </xf>
    <xf numFmtId="3" fontId="13" fillId="33" borderId="10" xfId="0" applyNumberFormat="1" applyFont="1" applyFill="1" applyBorder="1" applyAlignment="1">
      <alignment horizontal="right" vertical="center"/>
    </xf>
    <xf numFmtId="0" fontId="13" fillId="0" borderId="10" xfId="0" applyFont="1" applyFill="1" applyBorder="1" applyAlignment="1">
      <alignment horizontal="center" vertical="center"/>
    </xf>
    <xf numFmtId="2" fontId="12" fillId="0" borderId="10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10" xfId="0" applyFont="1" applyBorder="1" applyAlignment="1">
      <alignment/>
    </xf>
    <xf numFmtId="0" fontId="13" fillId="0" borderId="12" xfId="0" applyFont="1" applyBorder="1" applyAlignment="1">
      <alignment horizontal="left" vertical="center" wrapText="1"/>
    </xf>
    <xf numFmtId="0" fontId="13" fillId="0" borderId="10" xfId="0" applyFont="1" applyBorder="1" applyAlignment="1">
      <alignment/>
    </xf>
    <xf numFmtId="49" fontId="13" fillId="33" borderId="11" xfId="55" applyNumberFormat="1" applyFont="1" applyFill="1" applyBorder="1" applyAlignment="1">
      <alignment horizontal="center" vertical="center" wrapText="1"/>
      <protection/>
    </xf>
    <xf numFmtId="0" fontId="37" fillId="33" borderId="15" xfId="55" applyFont="1" applyFill="1" applyBorder="1" applyAlignment="1">
      <alignment horizontal="left" vertical="center" wrapText="1"/>
      <protection/>
    </xf>
    <xf numFmtId="2" fontId="12" fillId="33" borderId="10" xfId="0" applyNumberFormat="1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/>
    </xf>
    <xf numFmtId="3" fontId="13" fillId="33" borderId="11" xfId="0" applyNumberFormat="1" applyFont="1" applyFill="1" applyBorder="1" applyAlignment="1">
      <alignment horizontal="right" vertical="center" wrapText="1"/>
    </xf>
    <xf numFmtId="3" fontId="13" fillId="33" borderId="11" xfId="0" applyNumberFormat="1" applyFont="1" applyFill="1" applyBorder="1" applyAlignment="1">
      <alignment horizontal="right" vertical="center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49" fontId="12" fillId="0" borderId="14" xfId="0" applyNumberFormat="1" applyFont="1" applyBorder="1" applyAlignment="1">
      <alignment horizontal="center" vertical="center"/>
    </xf>
    <xf numFmtId="0" fontId="12" fillId="0" borderId="14" xfId="0" applyFont="1" applyBorder="1" applyAlignment="1">
      <alignment horizontal="left" vertical="center" wrapText="1"/>
    </xf>
    <xf numFmtId="3" fontId="12" fillId="0" borderId="14" xfId="0" applyNumberFormat="1" applyFont="1" applyBorder="1" applyAlignment="1">
      <alignment horizontal="right" vertical="center" wrapText="1"/>
    </xf>
    <xf numFmtId="3" fontId="12" fillId="0" borderId="14" xfId="0" applyNumberFormat="1" applyFont="1" applyBorder="1" applyAlignment="1">
      <alignment horizontal="right" vertical="center"/>
    </xf>
    <xf numFmtId="0" fontId="12" fillId="0" borderId="12" xfId="0" applyFont="1" applyBorder="1" applyAlignment="1">
      <alignment horizontal="center" vertical="center" wrapText="1"/>
    </xf>
    <xf numFmtId="0" fontId="40" fillId="0" borderId="10" xfId="0" applyFont="1" applyBorder="1" applyAlignment="1">
      <alignment/>
    </xf>
    <xf numFmtId="0" fontId="13" fillId="33" borderId="12" xfId="0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/>
    </xf>
    <xf numFmtId="0" fontId="13" fillId="33" borderId="12" xfId="55" applyFont="1" applyFill="1" applyBorder="1" applyAlignment="1">
      <alignment horizontal="left" vertical="center" wrapText="1"/>
      <protection/>
    </xf>
    <xf numFmtId="0" fontId="12" fillId="0" borderId="12" xfId="0" applyFont="1" applyFill="1" applyBorder="1" applyAlignment="1">
      <alignment horizontal="center" vertical="center"/>
    </xf>
    <xf numFmtId="0" fontId="50" fillId="0" borderId="10" xfId="0" applyFont="1" applyBorder="1" applyAlignment="1">
      <alignment/>
    </xf>
    <xf numFmtId="3" fontId="12" fillId="0" borderId="13" xfId="0" applyNumberFormat="1" applyFont="1" applyBorder="1" applyAlignment="1">
      <alignment horizontal="right" vertical="center" wrapText="1"/>
    </xf>
    <xf numFmtId="0" fontId="13" fillId="0" borderId="12" xfId="0" applyFont="1" applyFill="1" applyBorder="1" applyAlignment="1">
      <alignment horizontal="center" vertical="center"/>
    </xf>
    <xf numFmtId="3" fontId="13" fillId="0" borderId="13" xfId="0" applyNumberFormat="1" applyFont="1" applyBorder="1" applyAlignment="1">
      <alignment horizontal="right" vertical="center" wrapText="1"/>
    </xf>
    <xf numFmtId="0" fontId="13" fillId="0" borderId="15" xfId="0" applyFont="1" applyFill="1" applyBorder="1" applyAlignment="1">
      <alignment horizontal="center" vertical="center"/>
    </xf>
    <xf numFmtId="0" fontId="40" fillId="0" borderId="11" xfId="0" applyFont="1" applyBorder="1" applyAlignment="1">
      <alignment/>
    </xf>
    <xf numFmtId="0" fontId="50" fillId="0" borderId="0" xfId="0" applyFont="1" applyAlignment="1">
      <alignment/>
    </xf>
    <xf numFmtId="49" fontId="13" fillId="36" borderId="10" xfId="55" applyNumberFormat="1" applyFont="1" applyFill="1" applyBorder="1" applyAlignment="1">
      <alignment horizontal="center" vertical="center"/>
      <protection/>
    </xf>
    <xf numFmtId="0" fontId="13" fillId="36" borderId="10" xfId="55" applyFont="1" applyFill="1" applyBorder="1" applyAlignment="1">
      <alignment horizontal="left" vertical="center" wrapText="1"/>
      <protection/>
    </xf>
    <xf numFmtId="4" fontId="13" fillId="36" borderId="10" xfId="55" applyNumberFormat="1" applyFont="1" applyFill="1" applyBorder="1" applyAlignment="1">
      <alignment horizontal="right" vertical="center"/>
      <protection/>
    </xf>
    <xf numFmtId="0" fontId="13" fillId="36" borderId="0" xfId="55" applyFont="1" applyFill="1" applyAlignment="1">
      <alignment wrapText="1"/>
      <protection/>
    </xf>
    <xf numFmtId="49" fontId="13" fillId="36" borderId="10" xfId="55" applyNumberFormat="1" applyFont="1" applyFill="1" applyBorder="1" applyAlignment="1">
      <alignment horizontal="center" vertical="center" wrapText="1"/>
      <protection/>
    </xf>
    <xf numFmtId="0" fontId="37" fillId="36" borderId="10" xfId="55" applyFont="1" applyFill="1" applyBorder="1" applyAlignment="1">
      <alignment horizontal="left" vertical="center" wrapText="1"/>
      <protection/>
    </xf>
    <xf numFmtId="0" fontId="12" fillId="36" borderId="10" xfId="0" applyFont="1" applyFill="1" applyBorder="1" applyAlignment="1">
      <alignment horizontal="center" vertical="center" wrapText="1"/>
    </xf>
    <xf numFmtId="0" fontId="12" fillId="36" borderId="10" xfId="55" applyFont="1" applyFill="1" applyBorder="1" applyAlignment="1">
      <alignment horizontal="left" vertical="center" wrapText="1"/>
      <protection/>
    </xf>
    <xf numFmtId="4" fontId="12" fillId="36" borderId="10" xfId="55" applyNumberFormat="1" applyFont="1" applyFill="1" applyBorder="1" applyAlignment="1">
      <alignment horizontal="right" vertical="center"/>
      <protection/>
    </xf>
    <xf numFmtId="14" fontId="6" fillId="0" borderId="0" xfId="55" applyNumberFormat="1" applyFont="1" applyBorder="1" applyAlignment="1">
      <alignment horizontal="left"/>
      <protection/>
    </xf>
    <xf numFmtId="0" fontId="10" fillId="0" borderId="0" xfId="53" applyFont="1" applyBorder="1" applyAlignment="1">
      <alignment horizontal="center"/>
      <protection/>
    </xf>
    <xf numFmtId="0" fontId="12" fillId="0" borderId="10" xfId="53" applyFont="1" applyBorder="1" applyAlignment="1">
      <alignment horizontal="center" vertical="center"/>
      <protection/>
    </xf>
    <xf numFmtId="0" fontId="12" fillId="0" borderId="10" xfId="53" applyFont="1" applyBorder="1" applyAlignment="1">
      <alignment horizontal="center" vertical="center" wrapText="1"/>
      <protection/>
    </xf>
    <xf numFmtId="0" fontId="26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/>
    </xf>
    <xf numFmtId="0" fontId="26" fillId="0" borderId="10" xfId="0" applyFont="1" applyBorder="1" applyAlignment="1">
      <alignment horizontal="center" vertical="center"/>
    </xf>
    <xf numFmtId="0" fontId="34" fillId="0" borderId="10" xfId="55" applyFont="1" applyBorder="1" applyAlignment="1">
      <alignment horizontal="center" vertical="center" wrapText="1"/>
      <protection/>
    </xf>
    <xf numFmtId="0" fontId="32" fillId="0" borderId="0" xfId="55" applyFont="1" applyBorder="1" applyAlignment="1">
      <alignment horizontal="center"/>
      <protection/>
    </xf>
    <xf numFmtId="0" fontId="34" fillId="33" borderId="10" xfId="55" applyFont="1" applyFill="1" applyBorder="1" applyAlignment="1">
      <alignment horizontal="center" vertical="center" wrapText="1"/>
      <protection/>
    </xf>
    <xf numFmtId="0" fontId="44" fillId="0" borderId="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45" fillId="33" borderId="16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12" fillId="0" borderId="10" xfId="0" applyFont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ДОДАТКИ 1 2016" xfId="53"/>
    <cellStyle name="Обычный_ДОДАТКИ 1,2 від  20.12.17 №" xfId="54"/>
    <cellStyle name="Обычный_ДОДАТКИ 1,2, 3,4, 5, 6 від  22.12.17 №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77;&#1089;&#1110;&#1103;%2019.10.2017%20&#1079;&#1084;&#1110;&#1085;&#1080;\&#1044;&#1054;&#1044;&#1040;&#1058;&#1050;&#1048;%201,2,%203,4,%205,%206%20&#1074;&#1110;&#1076;%20%2019.10.17%20&#847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86;&#1080;%20&#1076;&#1086;&#1082;&#1091;&#1084;&#1077;&#1085;&#1090;&#1080;\&#1056;&#1030;&#1064;&#1045;&#1053;&#1053;&#1071;-&#1047;&#1042;&#1030;&#1058;&#1048;-%20(&#1074;&#1080;&#1082;&#1086;&#1085;&#1082;&#1086;&#1084;,%20&#1089;&#1077;&#1089;&#1110;&#1103;)\2018\&#1057;&#1077;&#1089;&#1110;&#1103;\7%20&#1057;&#1077;&#1089;&#1110;&#1103;%2021.10.2018%20&#8470;%20264%20&#1054;&#1089;&#1083;&#1102;&#1082;,%20&#1042;&#1086;&#1081;&#1090;&#1102;&#1082;,%20&#1079;&#1073;&#1110;&#1083;&#1100;&#1096;%20&#1083;&#1110;&#1084;&#1110;&#1090;&#1110;&#1074;%20&#1090;&#1077;&#1088;&#1094;&#1077;&#1085;&#1090;&#1088;&#1091;\&#1044;&#1054;&#1044;&#1040;&#1058;&#1050;&#1048;%201,2,%203,4,%20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77;&#1089;&#1110;&#1103;%2029%2008%202017%20&#1079;&#1084;&#1110;&#1085;&#1080;\&#1053;&#1040;&#1044;&#1077;&#1078;&#1076;&#1072;%20&#1076;&#1086;&#1076;&#1072;&#1090;&#1082;&#1080;,%20&#1087;&#1086;&#1103;&#1089;&#1085;&#1102;&#1074;&#1072;&#1083;&#1100;&#1085;&#1072;\&#1053;&#1040;&#1044;&#1045;&#1046;&#1044;&#1040;%20&#1044;&#1054;&#1044;&#1040;&#1058;&#1050;&#1048;%201,2,%203,4,%205,%206%20&#1074;&#1110;&#1076;%20%2016.06.17%20&#8470;%2016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д1"/>
      <sheetName val="Дод 2"/>
      <sheetName val="Дод 3"/>
      <sheetName val="Дод 4"/>
      <sheetName val="Дод 5"/>
      <sheetName val="Дод 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од1"/>
      <sheetName val="Дод 2"/>
      <sheetName val="Дод 3"/>
      <sheetName val="Дод 4"/>
      <sheetName val="Дод 5"/>
      <sheetName val="Дод 6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Дод1"/>
      <sheetName val="Дод 2"/>
      <sheetName val="Дод 3"/>
      <sheetName val="Дод 4"/>
      <sheetName val="Дод 5"/>
      <sheetName val="Дод 6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M58"/>
  <sheetViews>
    <sheetView view="pageBreakPreview" zoomScale="30" zoomScaleNormal="55" zoomScaleSheetLayoutView="30" zoomScalePageLayoutView="0" workbookViewId="0" topLeftCell="A1">
      <selection activeCell="D5" sqref="D5"/>
    </sheetView>
  </sheetViews>
  <sheetFormatPr defaultColWidth="9.140625" defaultRowHeight="12.75"/>
  <cols>
    <col min="1" max="1" width="26.8515625" style="1" customWidth="1"/>
    <col min="2" max="2" width="131.28125" style="1" customWidth="1"/>
    <col min="3" max="3" width="32.8515625" style="1" customWidth="1"/>
    <col min="4" max="4" width="36.00390625" style="1" customWidth="1"/>
    <col min="5" max="5" width="27.57421875" style="1" customWidth="1"/>
    <col min="6" max="6" width="26.7109375" style="1" customWidth="1"/>
    <col min="7" max="8" width="9.140625" style="1" customWidth="1"/>
    <col min="9" max="9" width="46.00390625" style="1" customWidth="1"/>
    <col min="10" max="16384" width="9.140625" style="1" customWidth="1"/>
  </cols>
  <sheetData>
    <row r="1" spans="4:10" ht="46.5" customHeight="1">
      <c r="D1" s="2" t="s">
        <v>0</v>
      </c>
      <c r="E1" s="3"/>
      <c r="F1" s="4"/>
      <c r="J1" s="5"/>
    </row>
    <row r="2" spans="1:13" ht="46.5" customHeight="1">
      <c r="A2" s="6"/>
      <c r="B2" s="6"/>
      <c r="C2" s="6"/>
      <c r="D2" s="2" t="s">
        <v>1</v>
      </c>
      <c r="E2" s="3"/>
      <c r="F2" s="4"/>
      <c r="J2" s="6" t="s">
        <v>2</v>
      </c>
      <c r="M2" s="6"/>
    </row>
    <row r="3" spans="1:13" ht="49.5" customHeight="1">
      <c r="A3" s="6"/>
      <c r="B3" s="6"/>
      <c r="C3" s="6"/>
      <c r="D3" s="2" t="s">
        <v>3</v>
      </c>
      <c r="E3" s="3"/>
      <c r="F3" s="4"/>
      <c r="M3" s="6"/>
    </row>
    <row r="4" spans="1:13" ht="45" customHeight="1">
      <c r="A4" s="6"/>
      <c r="B4" s="6"/>
      <c r="C4" s="6"/>
      <c r="D4" s="202" t="s">
        <v>278</v>
      </c>
      <c r="E4" s="202"/>
      <c r="F4" s="202"/>
      <c r="M4" s="6"/>
    </row>
    <row r="5" spans="1:13" ht="47.25" customHeight="1">
      <c r="A5" s="6"/>
      <c r="B5" s="6"/>
      <c r="C5" s="6"/>
      <c r="D5" s="7"/>
      <c r="E5" s="8"/>
      <c r="F5" s="9"/>
      <c r="M5" s="6"/>
    </row>
    <row r="6" spans="1:6" ht="41.25" customHeight="1">
      <c r="A6" s="6"/>
      <c r="B6" s="6"/>
      <c r="C6" s="6"/>
      <c r="D6" s="6"/>
      <c r="E6" s="6"/>
      <c r="F6" s="6"/>
    </row>
    <row r="7" spans="1:6" ht="49.5">
      <c r="A7" s="203" t="s">
        <v>4</v>
      </c>
      <c r="B7" s="203"/>
      <c r="C7" s="203"/>
      <c r="D7" s="203"/>
      <c r="E7" s="203"/>
      <c r="F7" s="203"/>
    </row>
    <row r="8" spans="1:6" ht="44.25" customHeight="1">
      <c r="A8" s="6"/>
      <c r="B8" s="6"/>
      <c r="C8" s="6"/>
      <c r="D8" s="6"/>
      <c r="E8" s="6"/>
      <c r="F8" s="10" t="s">
        <v>5</v>
      </c>
    </row>
    <row r="9" spans="1:9" ht="42.75" customHeight="1">
      <c r="A9" s="204" t="s">
        <v>6</v>
      </c>
      <c r="B9" s="205" t="s">
        <v>7</v>
      </c>
      <c r="C9" s="205" t="s">
        <v>8</v>
      </c>
      <c r="D9" s="205" t="s">
        <v>9</v>
      </c>
      <c r="E9" s="205" t="s">
        <v>10</v>
      </c>
      <c r="F9" s="205"/>
      <c r="G9" s="13"/>
      <c r="H9" s="13"/>
      <c r="I9" s="13"/>
    </row>
    <row r="10" spans="1:6" ht="125.25" customHeight="1">
      <c r="A10" s="204"/>
      <c r="B10" s="205"/>
      <c r="C10" s="205"/>
      <c r="D10" s="205"/>
      <c r="E10" s="11" t="s">
        <v>11</v>
      </c>
      <c r="F10" s="12" t="s">
        <v>12</v>
      </c>
    </row>
    <row r="11" spans="1:6" s="16" customFormat="1" ht="26.25" customHeight="1">
      <c r="A11" s="14">
        <v>1</v>
      </c>
      <c r="B11" s="15">
        <v>2</v>
      </c>
      <c r="C11" s="15">
        <v>3</v>
      </c>
      <c r="D11" s="15">
        <v>4</v>
      </c>
      <c r="E11" s="14">
        <v>5</v>
      </c>
      <c r="F11" s="15">
        <v>6</v>
      </c>
    </row>
    <row r="12" spans="1:6" ht="57" customHeight="1">
      <c r="A12" s="11">
        <v>10000000</v>
      </c>
      <c r="B12" s="17" t="s">
        <v>13</v>
      </c>
      <c r="C12" s="18">
        <f>D12+E12</f>
        <v>11011600</v>
      </c>
      <c r="D12" s="18">
        <f>D13+D15</f>
        <v>11011600</v>
      </c>
      <c r="E12" s="18">
        <f>E15</f>
        <v>0</v>
      </c>
      <c r="F12" s="18">
        <f>F15</f>
        <v>0</v>
      </c>
    </row>
    <row r="13" spans="1:6" ht="57" customHeight="1">
      <c r="A13" s="11">
        <v>14000000</v>
      </c>
      <c r="B13" s="17" t="s">
        <v>14</v>
      </c>
      <c r="C13" s="18">
        <f>C14</f>
        <v>4272600</v>
      </c>
      <c r="D13" s="18">
        <f>D14</f>
        <v>4272600</v>
      </c>
      <c r="E13" s="18">
        <f>E14</f>
        <v>0</v>
      </c>
      <c r="F13" s="18">
        <f>F14</f>
        <v>0</v>
      </c>
    </row>
    <row r="14" spans="1:6" ht="67.5" customHeight="1">
      <c r="A14" s="14">
        <v>14040000</v>
      </c>
      <c r="B14" s="19" t="s">
        <v>15</v>
      </c>
      <c r="C14" s="20">
        <f>D14+E14</f>
        <v>4272600</v>
      </c>
      <c r="D14" s="20">
        <v>4272600</v>
      </c>
      <c r="E14" s="20">
        <v>0</v>
      </c>
      <c r="F14" s="20">
        <v>0</v>
      </c>
    </row>
    <row r="15" spans="1:6" ht="56.25" customHeight="1">
      <c r="A15" s="11">
        <v>18000000</v>
      </c>
      <c r="B15" s="17" t="s">
        <v>16</v>
      </c>
      <c r="C15" s="18">
        <f>D15+E15</f>
        <v>6739000</v>
      </c>
      <c r="D15" s="18">
        <f>D16+D21</f>
        <v>6739000</v>
      </c>
      <c r="E15" s="18">
        <v>0</v>
      </c>
      <c r="F15" s="18">
        <v>0</v>
      </c>
    </row>
    <row r="16" spans="1:6" ht="54" customHeight="1">
      <c r="A16" s="11">
        <v>18010000</v>
      </c>
      <c r="B16" s="17" t="s">
        <v>17</v>
      </c>
      <c r="C16" s="18">
        <f>D16</f>
        <v>6139800</v>
      </c>
      <c r="D16" s="18">
        <f>D17+D18+D19+D20</f>
        <v>6139800</v>
      </c>
      <c r="E16" s="18">
        <v>0</v>
      </c>
      <c r="F16" s="18">
        <v>0</v>
      </c>
    </row>
    <row r="17" spans="1:6" ht="99.75" customHeight="1">
      <c r="A17" s="14">
        <v>18010100</v>
      </c>
      <c r="B17" s="19" t="s">
        <v>18</v>
      </c>
      <c r="C17" s="20">
        <f>D17</f>
        <v>113400</v>
      </c>
      <c r="D17" s="20">
        <v>113400</v>
      </c>
      <c r="E17" s="20">
        <v>0</v>
      </c>
      <c r="F17" s="20">
        <v>0</v>
      </c>
    </row>
    <row r="18" spans="1:6" ht="101.25" customHeight="1">
      <c r="A18" s="14">
        <v>18010200</v>
      </c>
      <c r="B18" s="19" t="s">
        <v>19</v>
      </c>
      <c r="C18" s="20">
        <f>D18</f>
        <v>412200</v>
      </c>
      <c r="D18" s="20">
        <v>412200</v>
      </c>
      <c r="E18" s="20">
        <v>0</v>
      </c>
      <c r="F18" s="20">
        <v>0</v>
      </c>
    </row>
    <row r="19" spans="1:6" ht="101.25" customHeight="1">
      <c r="A19" s="14">
        <v>18010300</v>
      </c>
      <c r="B19" s="19" t="s">
        <v>20</v>
      </c>
      <c r="C19" s="20">
        <f>D19</f>
        <v>550800</v>
      </c>
      <c r="D19" s="21">
        <v>550800</v>
      </c>
      <c r="E19" s="20">
        <v>0</v>
      </c>
      <c r="F19" s="20">
        <v>0</v>
      </c>
    </row>
    <row r="20" spans="1:6" ht="101.25" customHeight="1">
      <c r="A20" s="14">
        <v>18010400</v>
      </c>
      <c r="B20" s="19" t="s">
        <v>21</v>
      </c>
      <c r="C20" s="20">
        <f>D20</f>
        <v>5063400</v>
      </c>
      <c r="D20" s="20">
        <v>5063400</v>
      </c>
      <c r="E20" s="20">
        <v>0</v>
      </c>
      <c r="F20" s="20">
        <v>0</v>
      </c>
    </row>
    <row r="21" spans="1:6" ht="50.25" customHeight="1">
      <c r="A21" s="11">
        <v>18020000</v>
      </c>
      <c r="B21" s="17" t="s">
        <v>22</v>
      </c>
      <c r="C21" s="18">
        <f aca="true" t="shared" si="0" ref="C21:C26">D21+E21</f>
        <v>599200</v>
      </c>
      <c r="D21" s="18">
        <f>D22</f>
        <v>599200</v>
      </c>
      <c r="E21" s="18">
        <f>E22</f>
        <v>0</v>
      </c>
      <c r="F21" s="18">
        <f>F22</f>
        <v>0</v>
      </c>
    </row>
    <row r="22" spans="1:6" ht="71.25" customHeight="1">
      <c r="A22" s="14">
        <v>18020100</v>
      </c>
      <c r="B22" s="19" t="s">
        <v>23</v>
      </c>
      <c r="C22" s="20">
        <f t="shared" si="0"/>
        <v>599200</v>
      </c>
      <c r="D22" s="20">
        <v>599200</v>
      </c>
      <c r="E22" s="20">
        <v>0</v>
      </c>
      <c r="F22" s="20">
        <v>0</v>
      </c>
    </row>
    <row r="23" spans="1:6" ht="53.25" customHeight="1">
      <c r="A23" s="11">
        <v>20000000</v>
      </c>
      <c r="B23" s="17" t="s">
        <v>24</v>
      </c>
      <c r="C23" s="18">
        <f t="shared" si="0"/>
        <v>821360</v>
      </c>
      <c r="D23" s="18">
        <f>D24+D27</f>
        <v>190000</v>
      </c>
      <c r="E23" s="18">
        <f>E30</f>
        <v>631360</v>
      </c>
      <c r="F23" s="18">
        <v>0</v>
      </c>
    </row>
    <row r="24" spans="1:6" ht="50.25" customHeight="1">
      <c r="A24" s="11">
        <v>21000000</v>
      </c>
      <c r="B24" s="17" t="s">
        <v>25</v>
      </c>
      <c r="C24" s="20">
        <f t="shared" si="0"/>
        <v>50000</v>
      </c>
      <c r="D24" s="20">
        <f>D25</f>
        <v>50000</v>
      </c>
      <c r="E24" s="20">
        <v>0</v>
      </c>
      <c r="F24" s="20">
        <v>0</v>
      </c>
    </row>
    <row r="25" spans="1:6" ht="51.75" customHeight="1">
      <c r="A25" s="11">
        <v>21080000</v>
      </c>
      <c r="B25" s="17" t="s">
        <v>26</v>
      </c>
      <c r="C25" s="18">
        <f t="shared" si="0"/>
        <v>50000</v>
      </c>
      <c r="D25" s="18">
        <f>D26</f>
        <v>50000</v>
      </c>
      <c r="E25" s="20">
        <v>0</v>
      </c>
      <c r="F25" s="20">
        <v>0</v>
      </c>
    </row>
    <row r="26" spans="1:6" ht="56.25" customHeight="1">
      <c r="A26" s="14">
        <v>21081100</v>
      </c>
      <c r="B26" s="19" t="s">
        <v>27</v>
      </c>
      <c r="C26" s="20">
        <f t="shared" si="0"/>
        <v>50000</v>
      </c>
      <c r="D26" s="20">
        <v>50000</v>
      </c>
      <c r="E26" s="20">
        <v>0</v>
      </c>
      <c r="F26" s="20">
        <v>0</v>
      </c>
    </row>
    <row r="27" spans="1:6" ht="72.75" customHeight="1">
      <c r="A27" s="11">
        <v>22000000</v>
      </c>
      <c r="B27" s="17" t="s">
        <v>28</v>
      </c>
      <c r="C27" s="18">
        <f>C28</f>
        <v>140000</v>
      </c>
      <c r="D27" s="18">
        <f>D28</f>
        <v>140000</v>
      </c>
      <c r="E27" s="18">
        <f>E28</f>
        <v>0</v>
      </c>
      <c r="F27" s="18">
        <f>F28</f>
        <v>0</v>
      </c>
    </row>
    <row r="28" spans="1:6" ht="51.75" customHeight="1">
      <c r="A28" s="11">
        <v>22010000</v>
      </c>
      <c r="B28" s="17" t="s">
        <v>29</v>
      </c>
      <c r="C28" s="18">
        <f aca="true" t="shared" si="1" ref="C28:C49">D28+E28</f>
        <v>140000</v>
      </c>
      <c r="D28" s="18">
        <f>D29</f>
        <v>140000</v>
      </c>
      <c r="E28" s="20">
        <v>0</v>
      </c>
      <c r="F28" s="20">
        <v>0</v>
      </c>
    </row>
    <row r="29" spans="1:6" ht="59.25" customHeight="1">
      <c r="A29" s="14">
        <v>22012500</v>
      </c>
      <c r="B29" s="19" t="s">
        <v>30</v>
      </c>
      <c r="C29" s="20">
        <f t="shared" si="1"/>
        <v>140000</v>
      </c>
      <c r="D29" s="20">
        <v>140000</v>
      </c>
      <c r="E29" s="20">
        <v>0</v>
      </c>
      <c r="F29" s="20">
        <v>0</v>
      </c>
    </row>
    <row r="30" spans="1:6" ht="53.25" customHeight="1">
      <c r="A30" s="11">
        <v>25000000</v>
      </c>
      <c r="B30" s="17" t="s">
        <v>31</v>
      </c>
      <c r="C30" s="18">
        <f t="shared" si="1"/>
        <v>631360</v>
      </c>
      <c r="D30" s="18">
        <f>D31</f>
        <v>0</v>
      </c>
      <c r="E30" s="18">
        <f>E31</f>
        <v>631360</v>
      </c>
      <c r="F30" s="18">
        <v>0</v>
      </c>
    </row>
    <row r="31" spans="1:6" ht="75.75" customHeight="1">
      <c r="A31" s="11">
        <v>25010000</v>
      </c>
      <c r="B31" s="22" t="s">
        <v>32</v>
      </c>
      <c r="C31" s="18">
        <f t="shared" si="1"/>
        <v>631360</v>
      </c>
      <c r="D31" s="18">
        <f>D32+D33</f>
        <v>0</v>
      </c>
      <c r="E31" s="18">
        <f>E32+E33</f>
        <v>631360</v>
      </c>
      <c r="F31" s="18">
        <v>0</v>
      </c>
    </row>
    <row r="32" spans="1:6" ht="69" customHeight="1">
      <c r="A32" s="14">
        <v>25010100</v>
      </c>
      <c r="B32" s="23" t="s">
        <v>33</v>
      </c>
      <c r="C32" s="20">
        <f t="shared" si="1"/>
        <v>591537</v>
      </c>
      <c r="D32" s="20">
        <v>0</v>
      </c>
      <c r="E32" s="20">
        <v>591537</v>
      </c>
      <c r="F32" s="20">
        <v>0</v>
      </c>
    </row>
    <row r="33" spans="1:6" ht="57" customHeight="1">
      <c r="A33" s="14">
        <v>25010300</v>
      </c>
      <c r="B33" s="19" t="s">
        <v>34</v>
      </c>
      <c r="C33" s="20">
        <f t="shared" si="1"/>
        <v>39823</v>
      </c>
      <c r="D33" s="20">
        <v>0</v>
      </c>
      <c r="E33" s="20">
        <v>39823</v>
      </c>
      <c r="F33" s="20">
        <v>0</v>
      </c>
    </row>
    <row r="34" spans="1:6" ht="57" customHeight="1">
      <c r="A34" s="14"/>
      <c r="B34" s="17" t="s">
        <v>35</v>
      </c>
      <c r="C34" s="18">
        <f t="shared" si="1"/>
        <v>11832960</v>
      </c>
      <c r="D34" s="18">
        <f>D12+D23</f>
        <v>11201600</v>
      </c>
      <c r="E34" s="18">
        <f>E12+E23</f>
        <v>631360</v>
      </c>
      <c r="F34" s="18">
        <f>F12+F23</f>
        <v>0</v>
      </c>
    </row>
    <row r="35" spans="1:9" ht="61.5" customHeight="1">
      <c r="A35" s="11">
        <v>40000000</v>
      </c>
      <c r="B35" s="17" t="s">
        <v>36</v>
      </c>
      <c r="C35" s="18">
        <f t="shared" si="1"/>
        <v>198092787.81</v>
      </c>
      <c r="D35" s="18">
        <f>D36</f>
        <v>198032727.81</v>
      </c>
      <c r="E35" s="18">
        <f>E36</f>
        <v>60060</v>
      </c>
      <c r="F35" s="18">
        <f>F36</f>
        <v>60060</v>
      </c>
      <c r="I35" s="24">
        <f>D34+D38</f>
        <v>50093571</v>
      </c>
    </row>
    <row r="36" spans="1:6" ht="59.25" customHeight="1">
      <c r="A36" s="11">
        <v>41000000</v>
      </c>
      <c r="B36" s="17" t="s">
        <v>37</v>
      </c>
      <c r="C36" s="18">
        <f t="shared" si="1"/>
        <v>198092787.81</v>
      </c>
      <c r="D36" s="18">
        <f>D37+D39</f>
        <v>198032727.81</v>
      </c>
      <c r="E36" s="18">
        <f>E37+E39</f>
        <v>60060</v>
      </c>
      <c r="F36" s="18">
        <f>F37+F39</f>
        <v>60060</v>
      </c>
    </row>
    <row r="37" spans="1:6" ht="50.25" customHeight="1">
      <c r="A37" s="11">
        <v>41040000</v>
      </c>
      <c r="B37" s="17" t="s">
        <v>38</v>
      </c>
      <c r="C37" s="18">
        <f t="shared" si="1"/>
        <v>38891971</v>
      </c>
      <c r="D37" s="18">
        <f>D38</f>
        <v>38891971</v>
      </c>
      <c r="E37" s="18">
        <f>E38</f>
        <v>0</v>
      </c>
      <c r="F37" s="18">
        <f>F38</f>
        <v>0</v>
      </c>
    </row>
    <row r="38" spans="1:6" ht="54" customHeight="1">
      <c r="A38" s="14">
        <v>41040400</v>
      </c>
      <c r="B38" s="19" t="s">
        <v>39</v>
      </c>
      <c r="C38" s="20">
        <f t="shared" si="1"/>
        <v>38891971</v>
      </c>
      <c r="D38" s="20">
        <f>36195940+154500+7042+195000+540389+1249100+105000+445000</f>
        <v>38891971</v>
      </c>
      <c r="E38" s="20">
        <v>0</v>
      </c>
      <c r="F38" s="20">
        <v>0</v>
      </c>
    </row>
    <row r="39" spans="1:6" ht="49.5" customHeight="1">
      <c r="A39" s="11">
        <v>41050000</v>
      </c>
      <c r="B39" s="17" t="s">
        <v>40</v>
      </c>
      <c r="C39" s="18">
        <f t="shared" si="1"/>
        <v>159200816.81</v>
      </c>
      <c r="D39" s="18">
        <f>D40+D41+D42+D43+D46+D48+D44+D45</f>
        <v>159140756.81</v>
      </c>
      <c r="E39" s="18">
        <f>E40+E41+E42+E43+E46</f>
        <v>60060</v>
      </c>
      <c r="F39" s="18">
        <f>F46</f>
        <v>60060</v>
      </c>
    </row>
    <row r="40" spans="1:6" ht="388.5" customHeight="1">
      <c r="A40" s="14">
        <v>41050100</v>
      </c>
      <c r="B40" s="25" t="s">
        <v>41</v>
      </c>
      <c r="C40" s="20">
        <f t="shared" si="1"/>
        <v>48794400.81</v>
      </c>
      <c r="D40" s="20">
        <f>65018300+3764299.01-21099598.2-888600+720000+1280000</f>
        <v>48794400.81</v>
      </c>
      <c r="E40" s="20">
        <v>0</v>
      </c>
      <c r="F40" s="20">
        <v>0</v>
      </c>
    </row>
    <row r="41" spans="1:6" ht="147" customHeight="1">
      <c r="A41" s="14">
        <v>41050200</v>
      </c>
      <c r="B41" s="25" t="s">
        <v>42</v>
      </c>
      <c r="C41" s="20">
        <f t="shared" si="1"/>
        <v>1000400</v>
      </c>
      <c r="D41" s="20">
        <f>1020400-20000</f>
        <v>1000400</v>
      </c>
      <c r="E41" s="20">
        <v>0</v>
      </c>
      <c r="F41" s="20">
        <v>0</v>
      </c>
    </row>
    <row r="42" spans="1:6" ht="369" customHeight="1">
      <c r="A42" s="26">
        <v>41050300</v>
      </c>
      <c r="B42" s="27" t="s">
        <v>43</v>
      </c>
      <c r="C42" s="21">
        <f t="shared" si="1"/>
        <v>100080200</v>
      </c>
      <c r="D42" s="21">
        <v>100080200</v>
      </c>
      <c r="E42" s="21">
        <v>0</v>
      </c>
      <c r="F42" s="21">
        <v>0</v>
      </c>
    </row>
    <row r="43" spans="1:6" ht="319.5" customHeight="1">
      <c r="A43" s="14">
        <v>41050700</v>
      </c>
      <c r="B43" s="25" t="s">
        <v>44</v>
      </c>
      <c r="C43" s="20">
        <f t="shared" si="1"/>
        <v>2068362</v>
      </c>
      <c r="D43" s="20">
        <f>2046262+22100</f>
        <v>2068362</v>
      </c>
      <c r="E43" s="20">
        <v>0</v>
      </c>
      <c r="F43" s="20">
        <v>0</v>
      </c>
    </row>
    <row r="44" spans="1:6" ht="186" customHeight="1">
      <c r="A44" s="14">
        <v>41050900</v>
      </c>
      <c r="B44" s="25" t="s">
        <v>45</v>
      </c>
      <c r="C44" s="20">
        <f t="shared" si="1"/>
        <v>534192</v>
      </c>
      <c r="D44" s="20">
        <v>534192</v>
      </c>
      <c r="E44" s="20">
        <v>0</v>
      </c>
      <c r="F44" s="20">
        <v>0</v>
      </c>
    </row>
    <row r="45" spans="1:6" ht="97.5" customHeight="1">
      <c r="A45" s="14">
        <v>41052300</v>
      </c>
      <c r="B45" s="25" t="s">
        <v>46</v>
      </c>
      <c r="C45" s="21">
        <f t="shared" si="1"/>
        <v>4588000</v>
      </c>
      <c r="D45" s="20">
        <v>4588000</v>
      </c>
      <c r="E45" s="20">
        <v>0</v>
      </c>
      <c r="F45" s="20">
        <v>0</v>
      </c>
    </row>
    <row r="46" spans="1:6" ht="57" customHeight="1">
      <c r="A46" s="14">
        <v>41053900</v>
      </c>
      <c r="B46" s="28" t="s">
        <v>47</v>
      </c>
      <c r="C46" s="20">
        <f t="shared" si="1"/>
        <v>135262</v>
      </c>
      <c r="D46" s="20">
        <f>D47</f>
        <v>75202</v>
      </c>
      <c r="E46" s="20">
        <f>E47</f>
        <v>60060</v>
      </c>
      <c r="F46" s="20">
        <f>F47</f>
        <v>60060</v>
      </c>
    </row>
    <row r="47" spans="1:6" ht="99" customHeight="1">
      <c r="A47" s="14"/>
      <c r="B47" s="29" t="s">
        <v>48</v>
      </c>
      <c r="C47" s="20">
        <f t="shared" si="1"/>
        <v>135262</v>
      </c>
      <c r="D47" s="20">
        <v>75202</v>
      </c>
      <c r="E47" s="20">
        <v>60060</v>
      </c>
      <c r="F47" s="20">
        <v>60060</v>
      </c>
    </row>
    <row r="48" spans="1:6" ht="132" customHeight="1">
      <c r="A48" s="14">
        <v>41054100</v>
      </c>
      <c r="B48" s="29" t="s">
        <v>49</v>
      </c>
      <c r="C48" s="21">
        <f t="shared" si="1"/>
        <v>2000000</v>
      </c>
      <c r="D48" s="21">
        <v>2000000</v>
      </c>
      <c r="E48" s="21">
        <v>0</v>
      </c>
      <c r="F48" s="21">
        <v>0</v>
      </c>
    </row>
    <row r="49" spans="1:6" ht="59.25" customHeight="1">
      <c r="A49" s="14" t="s">
        <v>50</v>
      </c>
      <c r="B49" s="17" t="s">
        <v>51</v>
      </c>
      <c r="C49" s="18">
        <f t="shared" si="1"/>
        <v>209925747.81</v>
      </c>
      <c r="D49" s="18">
        <f>D34+D35</f>
        <v>209234327.81</v>
      </c>
      <c r="E49" s="18">
        <f>E34+E35</f>
        <v>691420</v>
      </c>
      <c r="F49" s="18">
        <f>F46</f>
        <v>60060</v>
      </c>
    </row>
    <row r="50" spans="1:6" ht="19.5">
      <c r="A50" s="30"/>
      <c r="B50" s="30"/>
      <c r="C50" s="30"/>
      <c r="D50" s="30"/>
      <c r="E50" s="30"/>
      <c r="F50" s="30"/>
    </row>
    <row r="51" spans="3:4" s="31" customFormat="1" ht="27.75">
      <c r="C51" s="32"/>
      <c r="D51" s="32"/>
    </row>
    <row r="52" ht="19.5">
      <c r="A52" s="30"/>
    </row>
    <row r="58" spans="1:5" s="34" customFormat="1" ht="49.5">
      <c r="A58" s="33"/>
      <c r="C58" s="35"/>
      <c r="E58" s="36"/>
    </row>
  </sheetData>
  <sheetProtection selectLockedCells="1" selectUnlockedCells="1"/>
  <mergeCells count="7">
    <mergeCell ref="D4:F4"/>
    <mergeCell ref="A7:F7"/>
    <mergeCell ref="A9:A10"/>
    <mergeCell ref="B9:B10"/>
    <mergeCell ref="C9:C10"/>
    <mergeCell ref="D9:D10"/>
    <mergeCell ref="E9:F9"/>
  </mergeCells>
  <printOptions/>
  <pageMargins left="0.8270833333333333" right="0.2361111111111111" top="0.95" bottom="0.3701388888888889" header="0.5118055555555555" footer="0.5118055555555555"/>
  <pageSetup horizontalDpi="300" verticalDpi="300" orientation="portrait" paperSize="9" scale="32" r:id="rId1"/>
  <rowBreaks count="1" manualBreakCount="1">
    <brk id="3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31"/>
  <sheetViews>
    <sheetView view="pageBreakPreview" zoomScale="30" zoomScaleSheetLayoutView="30" zoomScalePageLayoutView="0" workbookViewId="0" topLeftCell="A1">
      <selection activeCell="B16" sqref="B16"/>
    </sheetView>
  </sheetViews>
  <sheetFormatPr defaultColWidth="9.140625" defaultRowHeight="12.75"/>
  <cols>
    <col min="1" max="1" width="19.00390625" style="37" customWidth="1"/>
    <col min="2" max="2" width="74.00390625" style="37" customWidth="1"/>
    <col min="3" max="3" width="20.57421875" style="37" customWidth="1"/>
    <col min="4" max="4" width="21.57421875" style="37" customWidth="1"/>
    <col min="5" max="5" width="21.28125" style="37" customWidth="1"/>
    <col min="6" max="6" width="21.421875" style="37" customWidth="1"/>
    <col min="7" max="16384" width="9.140625" style="37" customWidth="1"/>
  </cols>
  <sheetData>
    <row r="1" spans="5:13" ht="20.25">
      <c r="E1" s="38" t="s">
        <v>52</v>
      </c>
      <c r="F1" s="39"/>
      <c r="G1" s="40"/>
      <c r="H1" s="41"/>
      <c r="I1" s="41"/>
      <c r="J1" s="41"/>
      <c r="K1" s="41"/>
      <c r="L1" s="42"/>
      <c r="M1" s="42"/>
    </row>
    <row r="2" spans="5:13" ht="20.25">
      <c r="E2" s="38" t="s">
        <v>1</v>
      </c>
      <c r="F2" s="39"/>
      <c r="G2" s="40"/>
      <c r="H2" s="41"/>
      <c r="I2" s="41"/>
      <c r="J2" s="41"/>
      <c r="K2" s="41"/>
      <c r="L2" s="42"/>
      <c r="M2" s="42"/>
    </row>
    <row r="3" spans="5:13" ht="20.25">
      <c r="E3" s="38" t="s">
        <v>3</v>
      </c>
      <c r="F3" s="39"/>
      <c r="G3" s="40"/>
      <c r="H3" s="41"/>
      <c r="I3" s="41"/>
      <c r="J3" s="41"/>
      <c r="K3" s="41"/>
      <c r="L3" s="42"/>
      <c r="M3" s="42"/>
    </row>
    <row r="4" spans="5:13" ht="20.25">
      <c r="E4" s="43" t="s">
        <v>279</v>
      </c>
      <c r="F4" s="39"/>
      <c r="G4" s="40"/>
      <c r="H4" s="41"/>
      <c r="I4" s="41"/>
      <c r="J4" s="41"/>
      <c r="K4" s="41"/>
      <c r="L4" s="42"/>
      <c r="M4" s="42"/>
    </row>
    <row r="5" ht="18.75">
      <c r="F5" s="44"/>
    </row>
    <row r="7" spans="1:10" ht="23.25">
      <c r="A7" s="207" t="s">
        <v>53</v>
      </c>
      <c r="B7" s="207"/>
      <c r="C7" s="207"/>
      <c r="D7" s="207"/>
      <c r="E7" s="207"/>
      <c r="F7" s="207"/>
      <c r="G7" s="207"/>
      <c r="J7" s="37" t="s">
        <v>54</v>
      </c>
    </row>
    <row r="8" spans="1:7" ht="18.75">
      <c r="A8" s="44"/>
      <c r="B8" s="44"/>
      <c r="C8" s="44"/>
      <c r="D8" s="44"/>
      <c r="E8" s="44"/>
      <c r="F8" s="45" t="s">
        <v>5</v>
      </c>
      <c r="G8" s="44"/>
    </row>
    <row r="9" spans="1:12" ht="29.25" customHeight="1">
      <c r="A9" s="208" t="s">
        <v>6</v>
      </c>
      <c r="B9" s="206" t="s">
        <v>55</v>
      </c>
      <c r="C9" s="208" t="s">
        <v>8</v>
      </c>
      <c r="D9" s="206" t="s">
        <v>9</v>
      </c>
      <c r="E9" s="208" t="s">
        <v>10</v>
      </c>
      <c r="F9" s="208"/>
      <c r="G9" s="47"/>
      <c r="H9" s="48"/>
      <c r="I9" s="48"/>
      <c r="J9" s="48"/>
      <c r="K9" s="48"/>
      <c r="L9" s="48"/>
    </row>
    <row r="10" spans="1:12" ht="66" customHeight="1">
      <c r="A10" s="208"/>
      <c r="B10" s="206"/>
      <c r="C10" s="208"/>
      <c r="D10" s="206"/>
      <c r="E10" s="46" t="s">
        <v>11</v>
      </c>
      <c r="F10" s="46" t="s">
        <v>12</v>
      </c>
      <c r="G10" s="47"/>
      <c r="H10" s="48"/>
      <c r="I10" s="48"/>
      <c r="J10" s="48"/>
      <c r="K10" s="48"/>
      <c r="L10" s="48"/>
    </row>
    <row r="11" spans="1:12" s="40" customFormat="1" ht="18" customHeight="1">
      <c r="A11" s="49">
        <v>1</v>
      </c>
      <c r="B11" s="50">
        <v>2</v>
      </c>
      <c r="C11" s="49">
        <v>3</v>
      </c>
      <c r="D11" s="50">
        <v>4</v>
      </c>
      <c r="E11" s="50">
        <v>5</v>
      </c>
      <c r="F11" s="50">
        <v>6</v>
      </c>
      <c r="G11" s="51"/>
      <c r="H11" s="52"/>
      <c r="I11" s="52"/>
      <c r="J11" s="52"/>
      <c r="K11" s="52"/>
      <c r="L11" s="52"/>
    </row>
    <row r="12" spans="1:12" ht="19.5" customHeight="1">
      <c r="A12" s="206" t="s">
        <v>56</v>
      </c>
      <c r="B12" s="206"/>
      <c r="C12" s="206"/>
      <c r="D12" s="206"/>
      <c r="E12" s="206"/>
      <c r="F12" s="206"/>
      <c r="G12" s="47"/>
      <c r="H12" s="48"/>
      <c r="I12" s="48"/>
      <c r="J12" s="48"/>
      <c r="K12" s="48"/>
      <c r="L12" s="48"/>
    </row>
    <row r="13" spans="1:12" ht="24" customHeight="1">
      <c r="A13" s="46">
        <v>200000</v>
      </c>
      <c r="B13" s="53" t="s">
        <v>57</v>
      </c>
      <c r="C13" s="54">
        <f>D13+F13</f>
        <v>332716</v>
      </c>
      <c r="D13" s="54">
        <f>SUM(D15-D16+D17)</f>
        <v>-8950308</v>
      </c>
      <c r="E13" s="54">
        <f>SUM(E17)</f>
        <v>9283024</v>
      </c>
      <c r="F13" s="54">
        <f>SUM(F17)</f>
        <v>9283024</v>
      </c>
      <c r="G13" s="47"/>
      <c r="H13" s="48"/>
      <c r="I13" s="48"/>
      <c r="J13" s="48"/>
      <c r="K13" s="48"/>
      <c r="L13" s="48"/>
    </row>
    <row r="14" spans="1:12" ht="28.5" customHeight="1">
      <c r="A14" s="55">
        <v>208000</v>
      </c>
      <c r="B14" s="56" t="s">
        <v>58</v>
      </c>
      <c r="C14" s="57">
        <f>D14+E14</f>
        <v>332716</v>
      </c>
      <c r="D14" s="57">
        <f>D15-D16+D17</f>
        <v>-8950308</v>
      </c>
      <c r="E14" s="57">
        <f>E15-E16+E17</f>
        <v>9283024</v>
      </c>
      <c r="F14" s="57">
        <f>SUM(E14)</f>
        <v>9283024</v>
      </c>
      <c r="G14" s="47"/>
      <c r="H14" s="48"/>
      <c r="I14" s="48"/>
      <c r="J14" s="48"/>
      <c r="K14" s="48"/>
      <c r="L14" s="48"/>
    </row>
    <row r="15" spans="1:12" ht="27.75" customHeight="1">
      <c r="A15" s="55">
        <v>208100</v>
      </c>
      <c r="B15" s="56" t="s">
        <v>59</v>
      </c>
      <c r="C15" s="58">
        <f>D15</f>
        <v>361802.15</v>
      </c>
      <c r="D15" s="59">
        <v>361802.15</v>
      </c>
      <c r="E15" s="57">
        <v>0</v>
      </c>
      <c r="F15" s="57">
        <v>0</v>
      </c>
      <c r="G15" s="47"/>
      <c r="H15" s="48"/>
      <c r="I15" s="48"/>
      <c r="J15" s="48"/>
      <c r="K15" s="48"/>
      <c r="L15" s="48"/>
    </row>
    <row r="16" spans="1:12" ht="27.75" customHeight="1">
      <c r="A16" s="55">
        <v>208200</v>
      </c>
      <c r="B16" s="56" t="s">
        <v>60</v>
      </c>
      <c r="C16" s="58">
        <f>D16</f>
        <v>29086.150000000023</v>
      </c>
      <c r="D16" s="58">
        <f>D15-212000-716-120000</f>
        <v>29086.150000000023</v>
      </c>
      <c r="E16" s="57">
        <v>0</v>
      </c>
      <c r="F16" s="57">
        <v>0</v>
      </c>
      <c r="G16" s="47"/>
      <c r="H16" s="48"/>
      <c r="I16" s="48"/>
      <c r="J16" s="48"/>
      <c r="K16" s="48"/>
      <c r="L16" s="48"/>
    </row>
    <row r="17" spans="1:12" ht="45.75" customHeight="1">
      <c r="A17" s="55">
        <v>208400</v>
      </c>
      <c r="B17" s="56" t="s">
        <v>61</v>
      </c>
      <c r="C17" s="57">
        <f>D17+F17</f>
        <v>0</v>
      </c>
      <c r="D17" s="60">
        <f>-237000-358410-2060000-60000-120000-345389-500000-14900-46303-77600-534192-250000-51230-4588000-40000</f>
        <v>-9283024</v>
      </c>
      <c r="E17" s="60">
        <f>237000+358410+2060000+60000+120000+345389+500000+14900+46303+77600+534192+250000+51230+4588000+40000</f>
        <v>9283024</v>
      </c>
      <c r="F17" s="57">
        <f>SUM(E17)</f>
        <v>9283024</v>
      </c>
      <c r="G17" s="47"/>
      <c r="H17" s="48"/>
      <c r="I17" s="48"/>
      <c r="J17" s="48"/>
      <c r="K17" s="48"/>
      <c r="L17" s="48"/>
    </row>
    <row r="18" spans="1:12" s="63" customFormat="1" ht="25.5" customHeight="1">
      <c r="A18" s="55" t="s">
        <v>50</v>
      </c>
      <c r="B18" s="53" t="s">
        <v>62</v>
      </c>
      <c r="C18" s="54">
        <f>C13</f>
        <v>332716</v>
      </c>
      <c r="D18" s="54">
        <f>D13</f>
        <v>-8950308</v>
      </c>
      <c r="E18" s="54">
        <f>E13</f>
        <v>9283024</v>
      </c>
      <c r="F18" s="54">
        <f>F13</f>
        <v>9283024</v>
      </c>
      <c r="G18" s="61"/>
      <c r="H18" s="62"/>
      <c r="I18" s="62"/>
      <c r="J18" s="62"/>
      <c r="K18" s="62"/>
      <c r="L18" s="62"/>
    </row>
    <row r="19" spans="1:12" s="63" customFormat="1" ht="20.25" customHeight="1">
      <c r="A19" s="206" t="s">
        <v>63</v>
      </c>
      <c r="B19" s="206"/>
      <c r="C19" s="206"/>
      <c r="D19" s="206"/>
      <c r="E19" s="206"/>
      <c r="F19" s="206"/>
      <c r="G19" s="61"/>
      <c r="H19" s="62"/>
      <c r="I19" s="62"/>
      <c r="J19" s="62"/>
      <c r="K19" s="62"/>
      <c r="L19" s="62"/>
    </row>
    <row r="20" spans="1:12" ht="28.5" customHeight="1">
      <c r="A20" s="46">
        <v>600000</v>
      </c>
      <c r="B20" s="53" t="s">
        <v>64</v>
      </c>
      <c r="C20" s="54">
        <f>D20+F20</f>
        <v>332716</v>
      </c>
      <c r="D20" s="54">
        <f>SUM(D22-D23+D24)</f>
        <v>-8950308</v>
      </c>
      <c r="E20" s="54">
        <f>SUM(E24)</f>
        <v>9283024</v>
      </c>
      <c r="F20" s="54">
        <f>SUM(F24)</f>
        <v>9283024</v>
      </c>
      <c r="G20" s="47"/>
      <c r="H20" s="48"/>
      <c r="I20" s="48"/>
      <c r="J20" s="48"/>
      <c r="K20" s="48"/>
      <c r="L20" s="48"/>
    </row>
    <row r="21" spans="1:12" ht="29.25" customHeight="1">
      <c r="A21" s="55">
        <v>602000</v>
      </c>
      <c r="B21" s="56" t="s">
        <v>65</v>
      </c>
      <c r="C21" s="57">
        <f>D21+F21</f>
        <v>332716</v>
      </c>
      <c r="D21" s="57">
        <f>SUM(D14)</f>
        <v>-8950308</v>
      </c>
      <c r="E21" s="57">
        <f>SUM(E14)</f>
        <v>9283024</v>
      </c>
      <c r="F21" s="57">
        <f>SUM(E21)</f>
        <v>9283024</v>
      </c>
      <c r="G21" s="47"/>
      <c r="H21" s="48"/>
      <c r="I21" s="48"/>
      <c r="J21" s="48"/>
      <c r="K21" s="48"/>
      <c r="L21" s="48"/>
    </row>
    <row r="22" spans="1:12" ht="27.75" customHeight="1">
      <c r="A22" s="55">
        <v>602100</v>
      </c>
      <c r="B22" s="56" t="s">
        <v>59</v>
      </c>
      <c r="C22" s="58">
        <f>D22</f>
        <v>361802.15</v>
      </c>
      <c r="D22" s="58">
        <f>D15</f>
        <v>361802.15</v>
      </c>
      <c r="E22" s="57">
        <v>0</v>
      </c>
      <c r="F22" s="57">
        <v>0</v>
      </c>
      <c r="G22" s="47"/>
      <c r="H22" s="48"/>
      <c r="I22" s="48"/>
      <c r="J22" s="48"/>
      <c r="K22" s="48"/>
      <c r="L22" s="48"/>
    </row>
    <row r="23" spans="1:12" ht="27.75" customHeight="1">
      <c r="A23" s="55">
        <v>602200</v>
      </c>
      <c r="B23" s="56" t="s">
        <v>66</v>
      </c>
      <c r="C23" s="64">
        <f>D23</f>
        <v>29086.150000000023</v>
      </c>
      <c r="D23" s="64">
        <f>SUM(D16)</f>
        <v>29086.150000000023</v>
      </c>
      <c r="E23" s="65">
        <v>0</v>
      </c>
      <c r="F23" s="65">
        <v>0</v>
      </c>
      <c r="G23" s="47"/>
      <c r="H23" s="48"/>
      <c r="I23" s="48"/>
      <c r="J23" s="48"/>
      <c r="K23" s="48"/>
      <c r="L23" s="48"/>
    </row>
    <row r="24" spans="1:12" ht="43.5" customHeight="1">
      <c r="A24" s="55">
        <v>602400</v>
      </c>
      <c r="B24" s="66" t="s">
        <v>61</v>
      </c>
      <c r="C24" s="57">
        <f>D24+F24</f>
        <v>0</v>
      </c>
      <c r="D24" s="57">
        <f>SUM(D17)</f>
        <v>-9283024</v>
      </c>
      <c r="E24" s="57">
        <f>SUM(F24)</f>
        <v>9283024</v>
      </c>
      <c r="F24" s="57">
        <f>SUM(F17)</f>
        <v>9283024</v>
      </c>
      <c r="G24" s="47"/>
      <c r="H24" s="48"/>
      <c r="I24" s="48"/>
      <c r="J24" s="48"/>
      <c r="K24" s="48"/>
      <c r="L24" s="48"/>
    </row>
    <row r="25" spans="1:12" ht="27.75" customHeight="1">
      <c r="A25" s="55" t="s">
        <v>50</v>
      </c>
      <c r="B25" s="67" t="s">
        <v>62</v>
      </c>
      <c r="C25" s="68">
        <f>C20</f>
        <v>332716</v>
      </c>
      <c r="D25" s="68">
        <f>D20</f>
        <v>-8950308</v>
      </c>
      <c r="E25" s="68">
        <f>E20</f>
        <v>9283024</v>
      </c>
      <c r="F25" s="68">
        <f>F20</f>
        <v>9283024</v>
      </c>
      <c r="G25" s="48"/>
      <c r="H25" s="48"/>
      <c r="I25" s="48"/>
      <c r="J25" s="48"/>
      <c r="K25" s="48"/>
      <c r="L25" s="48"/>
    </row>
    <row r="26" spans="1:12" ht="15">
      <c r="A26" s="48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</row>
    <row r="27" spans="1:12" ht="1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</row>
    <row r="28" spans="1:12" ht="15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</row>
    <row r="29" spans="1:12" ht="15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</row>
    <row r="30" spans="1:12" ht="15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</row>
    <row r="31" spans="1:12" ht="15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</row>
  </sheetData>
  <sheetProtection selectLockedCells="1" selectUnlockedCells="1"/>
  <mergeCells count="8">
    <mergeCell ref="A12:F12"/>
    <mergeCell ref="A19:F19"/>
    <mergeCell ref="A7:G7"/>
    <mergeCell ref="A9:A10"/>
    <mergeCell ref="B9:B10"/>
    <mergeCell ref="C9:C10"/>
    <mergeCell ref="D9:D10"/>
    <mergeCell ref="E9:F9"/>
  </mergeCells>
  <printOptions/>
  <pageMargins left="0.5097222222222222" right="0.19652777777777777" top="0.7902777777777777" bottom="0.4798611111111111" header="0.5118055555555555" footer="0.5118055555555555"/>
  <pageSetup horizontalDpi="300" verticalDpi="300" orientation="landscape" paperSize="9" scale="75" r:id="rId1"/>
  <colBreaks count="1" manualBreakCount="1">
    <brk id="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P77"/>
  <sheetViews>
    <sheetView view="pageBreakPreview" zoomScale="40" zoomScaleNormal="55" zoomScaleSheetLayoutView="40" zoomScalePageLayoutView="0" workbookViewId="0" topLeftCell="A58">
      <selection activeCell="J9" sqref="J9:O9"/>
    </sheetView>
  </sheetViews>
  <sheetFormatPr defaultColWidth="9.140625" defaultRowHeight="12.75"/>
  <cols>
    <col min="1" max="1" width="32.28125" style="69" customWidth="1"/>
    <col min="2" max="2" width="32.57421875" style="69" customWidth="1"/>
    <col min="3" max="3" width="34.00390625" style="69" customWidth="1"/>
    <col min="4" max="4" width="149.140625" style="69" customWidth="1"/>
    <col min="5" max="5" width="33.00390625" style="69" customWidth="1"/>
    <col min="6" max="6" width="33.57421875" style="69" customWidth="1"/>
    <col min="7" max="7" width="32.140625" style="69" customWidth="1"/>
    <col min="8" max="8" width="28.57421875" style="69" customWidth="1"/>
    <col min="9" max="9" width="26.00390625" style="69" customWidth="1"/>
    <col min="10" max="10" width="30.7109375" style="69" customWidth="1"/>
    <col min="11" max="11" width="31.7109375" style="69" customWidth="1"/>
    <col min="12" max="12" width="26.00390625" style="69" customWidth="1"/>
    <col min="13" max="14" width="26.140625" style="69" customWidth="1"/>
    <col min="15" max="15" width="28.7109375" style="69" customWidth="1"/>
    <col min="16" max="16" width="34.421875" style="69" customWidth="1"/>
    <col min="17" max="16384" width="9.140625" style="69" customWidth="1"/>
  </cols>
  <sheetData>
    <row r="1" spans="13:15" ht="64.5">
      <c r="M1" s="70" t="s">
        <v>67</v>
      </c>
      <c r="O1" s="71"/>
    </row>
    <row r="2" spans="13:15" ht="60" customHeight="1">
      <c r="M2" s="70" t="s">
        <v>1</v>
      </c>
      <c r="O2" s="71"/>
    </row>
    <row r="3" spans="13:15" ht="64.5">
      <c r="M3" s="70" t="s">
        <v>3</v>
      </c>
      <c r="O3" s="71"/>
    </row>
    <row r="4" spans="13:15" ht="64.5">
      <c r="M4" s="72" t="s">
        <v>280</v>
      </c>
      <c r="N4" s="72"/>
      <c r="O4" s="73"/>
    </row>
    <row r="5" spans="14:16" ht="22.5" customHeight="1">
      <c r="N5" s="72"/>
      <c r="P5" s="71"/>
    </row>
    <row r="6" ht="23.25" customHeight="1">
      <c r="P6" s="74"/>
    </row>
    <row r="7" spans="2:16" ht="52.5" customHeight="1">
      <c r="B7" s="210" t="s">
        <v>68</v>
      </c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</row>
    <row r="8" spans="2:16" ht="48" customHeight="1"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6" t="s">
        <v>5</v>
      </c>
    </row>
    <row r="9" spans="1:16" s="78" customFormat="1" ht="58.5" customHeight="1">
      <c r="A9" s="209" t="s">
        <v>69</v>
      </c>
      <c r="B9" s="211" t="s">
        <v>70</v>
      </c>
      <c r="C9" s="211" t="s">
        <v>71</v>
      </c>
      <c r="D9" s="211" t="s">
        <v>72</v>
      </c>
      <c r="E9" s="209" t="s">
        <v>9</v>
      </c>
      <c r="F9" s="209"/>
      <c r="G9" s="209"/>
      <c r="H9" s="209"/>
      <c r="I9" s="209"/>
      <c r="J9" s="209" t="s">
        <v>10</v>
      </c>
      <c r="K9" s="209"/>
      <c r="L9" s="209"/>
      <c r="M9" s="209"/>
      <c r="N9" s="209"/>
      <c r="O9" s="209"/>
      <c r="P9" s="209" t="s">
        <v>73</v>
      </c>
    </row>
    <row r="10" spans="1:16" s="78" customFormat="1" ht="45" customHeight="1">
      <c r="A10" s="209"/>
      <c r="B10" s="211"/>
      <c r="C10" s="211"/>
      <c r="D10" s="211"/>
      <c r="E10" s="209" t="s">
        <v>11</v>
      </c>
      <c r="F10" s="209" t="s">
        <v>74</v>
      </c>
      <c r="G10" s="209" t="s">
        <v>75</v>
      </c>
      <c r="H10" s="209"/>
      <c r="I10" s="209" t="s">
        <v>76</v>
      </c>
      <c r="J10" s="209" t="s">
        <v>11</v>
      </c>
      <c r="K10" s="209" t="s">
        <v>12</v>
      </c>
      <c r="L10" s="209" t="s">
        <v>77</v>
      </c>
      <c r="M10" s="209" t="s">
        <v>75</v>
      </c>
      <c r="N10" s="209"/>
      <c r="O10" s="209" t="s">
        <v>76</v>
      </c>
      <c r="P10" s="209"/>
    </row>
    <row r="11" spans="1:16" s="78" customFormat="1" ht="58.5" customHeight="1">
      <c r="A11" s="209"/>
      <c r="B11" s="211"/>
      <c r="C11" s="211"/>
      <c r="D11" s="211"/>
      <c r="E11" s="209"/>
      <c r="F11" s="209"/>
      <c r="G11" s="209" t="s">
        <v>78</v>
      </c>
      <c r="H11" s="209" t="s">
        <v>79</v>
      </c>
      <c r="I11" s="209"/>
      <c r="J11" s="209"/>
      <c r="K11" s="209"/>
      <c r="L11" s="209"/>
      <c r="M11" s="209" t="s">
        <v>78</v>
      </c>
      <c r="N11" s="209" t="s">
        <v>79</v>
      </c>
      <c r="O11" s="209"/>
      <c r="P11" s="209"/>
    </row>
    <row r="12" spans="1:16" s="78" customFormat="1" ht="52.5" customHeight="1">
      <c r="A12" s="209"/>
      <c r="B12" s="211"/>
      <c r="C12" s="211"/>
      <c r="D12" s="211"/>
      <c r="E12" s="209"/>
      <c r="F12" s="209"/>
      <c r="G12" s="209"/>
      <c r="H12" s="209"/>
      <c r="I12" s="209"/>
      <c r="J12" s="209"/>
      <c r="K12" s="209"/>
      <c r="L12" s="209"/>
      <c r="M12" s="209"/>
      <c r="N12" s="209"/>
      <c r="O12" s="209"/>
      <c r="P12" s="209"/>
    </row>
    <row r="13" spans="1:16" s="78" customFormat="1" ht="27" customHeight="1">
      <c r="A13" s="79">
        <v>1</v>
      </c>
      <c r="B13" s="77">
        <v>2</v>
      </c>
      <c r="C13" s="77">
        <v>3</v>
      </c>
      <c r="D13" s="77">
        <v>4</v>
      </c>
      <c r="E13" s="79">
        <v>5</v>
      </c>
      <c r="F13" s="79">
        <v>6</v>
      </c>
      <c r="G13" s="77">
        <v>7</v>
      </c>
      <c r="H13" s="77">
        <v>8</v>
      </c>
      <c r="I13" s="77">
        <v>9</v>
      </c>
      <c r="J13" s="79">
        <v>10</v>
      </c>
      <c r="K13" s="79">
        <v>11</v>
      </c>
      <c r="L13" s="77">
        <v>12</v>
      </c>
      <c r="M13" s="77">
        <v>13</v>
      </c>
      <c r="N13" s="77">
        <v>14</v>
      </c>
      <c r="O13" s="77">
        <v>15</v>
      </c>
      <c r="P13" s="77">
        <v>16</v>
      </c>
    </row>
    <row r="14" spans="1:16" s="78" customFormat="1" ht="60" customHeight="1">
      <c r="A14" s="80" t="s">
        <v>80</v>
      </c>
      <c r="B14" s="81"/>
      <c r="C14" s="81"/>
      <c r="D14" s="82" t="s">
        <v>81</v>
      </c>
      <c r="E14" s="83">
        <f>E15</f>
        <v>34913001</v>
      </c>
      <c r="F14" s="83">
        <f>F15</f>
        <v>34913001</v>
      </c>
      <c r="G14" s="83">
        <f>G15</f>
        <v>24174272</v>
      </c>
      <c r="H14" s="83">
        <f>H15</f>
        <v>593802</v>
      </c>
      <c r="I14" s="83">
        <f>I15</f>
        <v>0</v>
      </c>
      <c r="J14" s="83">
        <f>L14+O14</f>
        <v>6342968</v>
      </c>
      <c r="K14" s="83">
        <f>K15</f>
        <v>6326399</v>
      </c>
      <c r="L14" s="83">
        <f>L15</f>
        <v>16569</v>
      </c>
      <c r="M14" s="83">
        <f>M15</f>
        <v>0</v>
      </c>
      <c r="N14" s="83">
        <f>N15</f>
        <v>0</v>
      </c>
      <c r="O14" s="83">
        <f>O15</f>
        <v>6326399</v>
      </c>
      <c r="P14" s="83">
        <f>E14+J14</f>
        <v>41255969</v>
      </c>
    </row>
    <row r="15" spans="1:16" s="78" customFormat="1" ht="64.5" customHeight="1">
      <c r="A15" s="81" t="s">
        <v>82</v>
      </c>
      <c r="B15" s="80"/>
      <c r="C15" s="80"/>
      <c r="D15" s="84" t="s">
        <v>81</v>
      </c>
      <c r="E15" s="85">
        <f>F15+I15</f>
        <v>34913001</v>
      </c>
      <c r="F15" s="85">
        <f>F16+F19+F27+F29+F31</f>
        <v>34913001</v>
      </c>
      <c r="G15" s="85">
        <f>G16+G19+G27+G29+G31</f>
        <v>24174272</v>
      </c>
      <c r="H15" s="85">
        <f>H16+H19+H27+H29+H31</f>
        <v>593802</v>
      </c>
      <c r="I15" s="85">
        <f>I16+I19+I27+I29+I31</f>
        <v>0</v>
      </c>
      <c r="J15" s="85">
        <f>L15+O15</f>
        <v>6342968</v>
      </c>
      <c r="K15" s="85">
        <f>K16+K19+K27+K29+K31+K34</f>
        <v>6326399</v>
      </c>
      <c r="L15" s="85">
        <f>L16+L19+L27+L29+L31</f>
        <v>16569</v>
      </c>
      <c r="M15" s="85">
        <f>M16+M19+M27+M29+M31</f>
        <v>0</v>
      </c>
      <c r="N15" s="85">
        <f>N16+N19+N27+N29+N31</f>
        <v>0</v>
      </c>
      <c r="O15" s="85">
        <f>O16+O19+O27+O29+O31+O34</f>
        <v>6326399</v>
      </c>
      <c r="P15" s="85">
        <f>E15+J15</f>
        <v>41255969</v>
      </c>
    </row>
    <row r="16" spans="1:16" s="86" customFormat="1" ht="57" customHeight="1">
      <c r="A16" s="80"/>
      <c r="B16" s="80" t="s">
        <v>83</v>
      </c>
      <c r="C16" s="80"/>
      <c r="D16" s="82" t="s">
        <v>84</v>
      </c>
      <c r="E16" s="83">
        <f aca="true" t="shared" si="0" ref="E16:P16">E17+E18</f>
        <v>32855200</v>
      </c>
      <c r="F16" s="83">
        <f t="shared" si="0"/>
        <v>32855200</v>
      </c>
      <c r="G16" s="83">
        <f t="shared" si="0"/>
        <v>24067443</v>
      </c>
      <c r="H16" s="83">
        <f t="shared" si="0"/>
        <v>593802</v>
      </c>
      <c r="I16" s="83">
        <f t="shared" si="0"/>
        <v>0</v>
      </c>
      <c r="J16" s="83">
        <f t="shared" si="0"/>
        <v>796558</v>
      </c>
      <c r="K16" s="83">
        <f t="shared" si="0"/>
        <v>779989</v>
      </c>
      <c r="L16" s="83">
        <f t="shared" si="0"/>
        <v>16569</v>
      </c>
      <c r="M16" s="83">
        <f t="shared" si="0"/>
        <v>0</v>
      </c>
      <c r="N16" s="83">
        <f t="shared" si="0"/>
        <v>0</v>
      </c>
      <c r="O16" s="83">
        <f t="shared" si="0"/>
        <v>779989</v>
      </c>
      <c r="P16" s="83">
        <f t="shared" si="0"/>
        <v>33651758</v>
      </c>
    </row>
    <row r="17" spans="1:16" s="90" customFormat="1" ht="72" customHeight="1">
      <c r="A17" s="87" t="s">
        <v>85</v>
      </c>
      <c r="B17" s="87" t="s">
        <v>86</v>
      </c>
      <c r="C17" s="87" t="s">
        <v>87</v>
      </c>
      <c r="D17" s="88" t="s">
        <v>88</v>
      </c>
      <c r="E17" s="89">
        <f>F17</f>
        <v>32820186</v>
      </c>
      <c r="F17" s="89">
        <f>32468000-35014+221000+138800+27400</f>
        <v>32820186</v>
      </c>
      <c r="G17" s="89">
        <f>23953673+113770</f>
        <v>24067443</v>
      </c>
      <c r="H17" s="89">
        <v>593802</v>
      </c>
      <c r="I17" s="89"/>
      <c r="J17" s="89">
        <f aca="true" t="shared" si="1" ref="J17:J25">L17+O17</f>
        <v>796558</v>
      </c>
      <c r="K17" s="89">
        <f>O17</f>
        <v>779989</v>
      </c>
      <c r="L17" s="89">
        <v>16569</v>
      </c>
      <c r="M17" s="89"/>
      <c r="N17" s="89"/>
      <c r="O17" s="89">
        <f>237000+120000+345389+77600</f>
        <v>779989</v>
      </c>
      <c r="P17" s="89">
        <f aca="true" t="shared" si="2" ref="P17:P24">E17+J17</f>
        <v>33616744</v>
      </c>
    </row>
    <row r="18" spans="1:16" s="78" customFormat="1" ht="72" customHeight="1">
      <c r="A18" s="91" t="s">
        <v>89</v>
      </c>
      <c r="B18" s="91" t="s">
        <v>90</v>
      </c>
      <c r="C18" s="91" t="s">
        <v>91</v>
      </c>
      <c r="D18" s="88" t="s">
        <v>92</v>
      </c>
      <c r="E18" s="85">
        <f>F18</f>
        <v>35014</v>
      </c>
      <c r="F18" s="85">
        <v>35014</v>
      </c>
      <c r="G18" s="92"/>
      <c r="H18" s="92"/>
      <c r="I18" s="85"/>
      <c r="J18" s="85">
        <f t="shared" si="1"/>
        <v>0</v>
      </c>
      <c r="K18" s="85"/>
      <c r="L18" s="85"/>
      <c r="M18" s="85"/>
      <c r="N18" s="85"/>
      <c r="O18" s="85"/>
      <c r="P18" s="85">
        <f t="shared" si="2"/>
        <v>35014</v>
      </c>
    </row>
    <row r="19" spans="1:16" s="86" customFormat="1" ht="57" customHeight="1">
      <c r="A19" s="93"/>
      <c r="B19" s="93" t="s">
        <v>93</v>
      </c>
      <c r="C19" s="93"/>
      <c r="D19" s="94" t="s">
        <v>94</v>
      </c>
      <c r="E19" s="83">
        <f>F19+I19</f>
        <v>596637</v>
      </c>
      <c r="F19" s="83">
        <f>F20+F21+F22+F23+F24+F25+F26</f>
        <v>596637</v>
      </c>
      <c r="G19" s="83">
        <f>G20+G21+G22+G23+G24+G25+G26</f>
        <v>106829</v>
      </c>
      <c r="H19" s="83">
        <f>H20+H21+H22+H23+H24+H25+H26</f>
        <v>0</v>
      </c>
      <c r="I19" s="83">
        <f>I20+I21+I22+I23+I24+I25+I26</f>
        <v>0</v>
      </c>
      <c r="J19" s="83">
        <f t="shared" si="1"/>
        <v>0</v>
      </c>
      <c r="K19" s="83">
        <f>K20+K21+K22+K23+K24+K25+K26</f>
        <v>0</v>
      </c>
      <c r="L19" s="83">
        <f>L20+L21+L22+L23+L24+L25+L26</f>
        <v>0</v>
      </c>
      <c r="M19" s="83">
        <f>M20+M21+M22+M23+M24+M25+M26</f>
        <v>0</v>
      </c>
      <c r="N19" s="83">
        <f>N20+N21+N22+N23+N24+N25+N26</f>
        <v>0</v>
      </c>
      <c r="O19" s="83">
        <f>O20+O21+O22+O23+O24+O25+O26</f>
        <v>0</v>
      </c>
      <c r="P19" s="83">
        <f t="shared" si="2"/>
        <v>596637</v>
      </c>
    </row>
    <row r="20" spans="1:16" s="78" customFormat="1" ht="58.5" customHeight="1">
      <c r="A20" s="81" t="s">
        <v>95</v>
      </c>
      <c r="B20" s="81" t="s">
        <v>96</v>
      </c>
      <c r="C20" s="81" t="s">
        <v>97</v>
      </c>
      <c r="D20" s="84" t="s">
        <v>98</v>
      </c>
      <c r="E20" s="85">
        <f aca="true" t="shared" si="3" ref="E20:E26">F20</f>
        <v>60471</v>
      </c>
      <c r="F20" s="85">
        <f>59000+716+755</f>
        <v>60471</v>
      </c>
      <c r="G20" s="85"/>
      <c r="H20" s="85"/>
      <c r="I20" s="85"/>
      <c r="J20" s="85">
        <f t="shared" si="1"/>
        <v>0</v>
      </c>
      <c r="K20" s="85"/>
      <c r="L20" s="85"/>
      <c r="M20" s="85"/>
      <c r="N20" s="85"/>
      <c r="O20" s="85"/>
      <c r="P20" s="85">
        <f t="shared" si="2"/>
        <v>60471</v>
      </c>
    </row>
    <row r="21" spans="1:16" s="78" customFormat="1" ht="75" customHeight="1">
      <c r="A21" s="81" t="s">
        <v>99</v>
      </c>
      <c r="B21" s="81" t="s">
        <v>100</v>
      </c>
      <c r="C21" s="81" t="s">
        <v>97</v>
      </c>
      <c r="D21" s="84" t="s">
        <v>101</v>
      </c>
      <c r="E21" s="85">
        <f t="shared" si="3"/>
        <v>445</v>
      </c>
      <c r="F21" s="85">
        <f>750-305</f>
        <v>445</v>
      </c>
      <c r="G21" s="85"/>
      <c r="H21" s="85"/>
      <c r="I21" s="85"/>
      <c r="J21" s="85">
        <f t="shared" si="1"/>
        <v>0</v>
      </c>
      <c r="K21" s="85"/>
      <c r="L21" s="85"/>
      <c r="M21" s="85"/>
      <c r="N21" s="85"/>
      <c r="O21" s="85"/>
      <c r="P21" s="85">
        <f t="shared" si="2"/>
        <v>445</v>
      </c>
    </row>
    <row r="22" spans="1:16" s="78" customFormat="1" ht="56.25" customHeight="1">
      <c r="A22" s="81" t="s">
        <v>102</v>
      </c>
      <c r="B22" s="81" t="s">
        <v>103</v>
      </c>
      <c r="C22" s="81" t="s">
        <v>97</v>
      </c>
      <c r="D22" s="84" t="s">
        <v>104</v>
      </c>
      <c r="E22" s="85">
        <f t="shared" si="3"/>
        <v>11900</v>
      </c>
      <c r="F22" s="85">
        <v>11900</v>
      </c>
      <c r="G22" s="85"/>
      <c r="H22" s="85"/>
      <c r="I22" s="85"/>
      <c r="J22" s="85">
        <f t="shared" si="1"/>
        <v>0</v>
      </c>
      <c r="K22" s="85"/>
      <c r="L22" s="85"/>
      <c r="M22" s="85"/>
      <c r="N22" s="85"/>
      <c r="O22" s="85"/>
      <c r="P22" s="85">
        <f t="shared" si="2"/>
        <v>11900</v>
      </c>
    </row>
    <row r="23" spans="1:16" s="78" customFormat="1" ht="70.5" customHeight="1">
      <c r="A23" s="81" t="s">
        <v>105</v>
      </c>
      <c r="B23" s="81" t="s">
        <v>106</v>
      </c>
      <c r="C23" s="81" t="s">
        <v>97</v>
      </c>
      <c r="D23" s="88" t="s">
        <v>107</v>
      </c>
      <c r="E23" s="85">
        <f t="shared" si="3"/>
        <v>9900</v>
      </c>
      <c r="F23" s="85">
        <f>10350-450</f>
        <v>9900</v>
      </c>
      <c r="G23" s="85"/>
      <c r="H23" s="85"/>
      <c r="I23" s="85"/>
      <c r="J23" s="85">
        <f t="shared" si="1"/>
        <v>0</v>
      </c>
      <c r="K23" s="85"/>
      <c r="L23" s="85"/>
      <c r="M23" s="85"/>
      <c r="N23" s="85"/>
      <c r="O23" s="85"/>
      <c r="P23" s="85">
        <f t="shared" si="2"/>
        <v>9900</v>
      </c>
    </row>
    <row r="24" spans="1:16" s="78" customFormat="1" ht="103.5" customHeight="1">
      <c r="A24" s="81" t="s">
        <v>108</v>
      </c>
      <c r="B24" s="81" t="s">
        <v>109</v>
      </c>
      <c r="C24" s="81" t="s">
        <v>97</v>
      </c>
      <c r="D24" s="88" t="s">
        <v>110</v>
      </c>
      <c r="E24" s="85">
        <f t="shared" si="3"/>
        <v>15000</v>
      </c>
      <c r="F24" s="85">
        <v>15000</v>
      </c>
      <c r="G24" s="85"/>
      <c r="H24" s="85"/>
      <c r="I24" s="85"/>
      <c r="J24" s="85">
        <f t="shared" si="1"/>
        <v>0</v>
      </c>
      <c r="K24" s="85"/>
      <c r="L24" s="85"/>
      <c r="M24" s="85"/>
      <c r="N24" s="85"/>
      <c r="O24" s="85"/>
      <c r="P24" s="85">
        <f t="shared" si="2"/>
        <v>15000</v>
      </c>
    </row>
    <row r="25" spans="1:16" s="78" customFormat="1" ht="55.5" customHeight="1">
      <c r="A25" s="91" t="s">
        <v>111</v>
      </c>
      <c r="B25" s="91" t="s">
        <v>112</v>
      </c>
      <c r="C25" s="91" t="s">
        <v>113</v>
      </c>
      <c r="D25" s="95" t="s">
        <v>114</v>
      </c>
      <c r="E25" s="92">
        <f t="shared" si="3"/>
        <v>130331</v>
      </c>
      <c r="F25" s="92">
        <v>130331</v>
      </c>
      <c r="G25" s="92">
        <v>106829</v>
      </c>
      <c r="H25" s="92"/>
      <c r="I25" s="92"/>
      <c r="J25" s="92">
        <f t="shared" si="1"/>
        <v>0</v>
      </c>
      <c r="K25" s="92"/>
      <c r="L25" s="92"/>
      <c r="M25" s="92"/>
      <c r="N25" s="92"/>
      <c r="O25" s="92"/>
      <c r="P25" s="92">
        <f>J25+E25</f>
        <v>130331</v>
      </c>
    </row>
    <row r="26" spans="1:16" s="78" customFormat="1" ht="51.75" customHeight="1">
      <c r="A26" s="81" t="s">
        <v>115</v>
      </c>
      <c r="B26" s="81" t="s">
        <v>116</v>
      </c>
      <c r="C26" s="81" t="s">
        <v>117</v>
      </c>
      <c r="D26" s="88" t="s">
        <v>118</v>
      </c>
      <c r="E26" s="89">
        <f t="shared" si="3"/>
        <v>368590</v>
      </c>
      <c r="F26" s="89">
        <f>214090+154500</f>
        <v>368590</v>
      </c>
      <c r="G26" s="85"/>
      <c r="H26" s="85"/>
      <c r="I26" s="85"/>
      <c r="J26" s="85">
        <v>0</v>
      </c>
      <c r="K26" s="85"/>
      <c r="L26" s="85"/>
      <c r="M26" s="85"/>
      <c r="N26" s="85"/>
      <c r="O26" s="85"/>
      <c r="P26" s="85">
        <f>E26+J26</f>
        <v>368590</v>
      </c>
    </row>
    <row r="27" spans="1:16" s="86" customFormat="1" ht="51.75" customHeight="1">
      <c r="A27" s="80"/>
      <c r="B27" s="80" t="s">
        <v>119</v>
      </c>
      <c r="C27" s="80"/>
      <c r="D27" s="94" t="s">
        <v>120</v>
      </c>
      <c r="E27" s="96">
        <f aca="true" t="shared" si="4" ref="E27:P27">E28</f>
        <v>151700</v>
      </c>
      <c r="F27" s="96">
        <f t="shared" si="4"/>
        <v>151700</v>
      </c>
      <c r="G27" s="96">
        <f t="shared" si="4"/>
        <v>0</v>
      </c>
      <c r="H27" s="96">
        <f t="shared" si="4"/>
        <v>0</v>
      </c>
      <c r="I27" s="96">
        <f t="shared" si="4"/>
        <v>0</v>
      </c>
      <c r="J27" s="96">
        <f t="shared" si="4"/>
        <v>0</v>
      </c>
      <c r="K27" s="96">
        <f t="shared" si="4"/>
        <v>0</v>
      </c>
      <c r="L27" s="96">
        <f t="shared" si="4"/>
        <v>0</v>
      </c>
      <c r="M27" s="96">
        <f t="shared" si="4"/>
        <v>0</v>
      </c>
      <c r="N27" s="96">
        <f t="shared" si="4"/>
        <v>0</v>
      </c>
      <c r="O27" s="96">
        <f t="shared" si="4"/>
        <v>0</v>
      </c>
      <c r="P27" s="96">
        <f t="shared" si="4"/>
        <v>151700</v>
      </c>
    </row>
    <row r="28" spans="1:16" s="78" customFormat="1" ht="58.5" customHeight="1">
      <c r="A28" s="81" t="s">
        <v>121</v>
      </c>
      <c r="B28" s="81" t="s">
        <v>122</v>
      </c>
      <c r="C28" s="81" t="s">
        <v>123</v>
      </c>
      <c r="D28" s="84" t="s">
        <v>124</v>
      </c>
      <c r="E28" s="85">
        <f>F28</f>
        <v>151700</v>
      </c>
      <c r="F28" s="85">
        <v>151700</v>
      </c>
      <c r="G28" s="85"/>
      <c r="H28" s="85"/>
      <c r="I28" s="85"/>
      <c r="J28" s="85">
        <v>0</v>
      </c>
      <c r="K28" s="85"/>
      <c r="L28" s="85"/>
      <c r="M28" s="85"/>
      <c r="N28" s="85"/>
      <c r="O28" s="85"/>
      <c r="P28" s="85">
        <f>E28+J28</f>
        <v>151700</v>
      </c>
    </row>
    <row r="29" spans="1:16" s="78" customFormat="1" ht="50.25" customHeight="1">
      <c r="A29" s="80"/>
      <c r="B29" s="80" t="s">
        <v>125</v>
      </c>
      <c r="C29" s="80"/>
      <c r="D29" s="82" t="s">
        <v>126</v>
      </c>
      <c r="E29" s="83">
        <f aca="true" t="shared" si="5" ref="E29:P29">E30</f>
        <v>44000</v>
      </c>
      <c r="F29" s="83">
        <f t="shared" si="5"/>
        <v>44000</v>
      </c>
      <c r="G29" s="83">
        <f t="shared" si="5"/>
        <v>0</v>
      </c>
      <c r="H29" s="83">
        <f t="shared" si="5"/>
        <v>0</v>
      </c>
      <c r="I29" s="83">
        <f t="shared" si="5"/>
        <v>0</v>
      </c>
      <c r="J29" s="83">
        <f t="shared" si="5"/>
        <v>0</v>
      </c>
      <c r="K29" s="83">
        <f t="shared" si="5"/>
        <v>0</v>
      </c>
      <c r="L29" s="83">
        <f t="shared" si="5"/>
        <v>0</v>
      </c>
      <c r="M29" s="83">
        <f t="shared" si="5"/>
        <v>0</v>
      </c>
      <c r="N29" s="83">
        <f t="shared" si="5"/>
        <v>0</v>
      </c>
      <c r="O29" s="83">
        <f t="shared" si="5"/>
        <v>0</v>
      </c>
      <c r="P29" s="83">
        <f t="shared" si="5"/>
        <v>44000</v>
      </c>
    </row>
    <row r="30" spans="1:16" s="78" customFormat="1" ht="98.25" customHeight="1">
      <c r="A30" s="81" t="s">
        <v>127</v>
      </c>
      <c r="B30" s="81" t="s">
        <v>128</v>
      </c>
      <c r="C30" s="81" t="s">
        <v>129</v>
      </c>
      <c r="D30" s="84" t="s">
        <v>130</v>
      </c>
      <c r="E30" s="85">
        <f aca="true" t="shared" si="6" ref="E30:E36">F30</f>
        <v>44000</v>
      </c>
      <c r="F30" s="85">
        <v>44000</v>
      </c>
      <c r="G30" s="85"/>
      <c r="H30" s="85"/>
      <c r="I30" s="85"/>
      <c r="J30" s="85">
        <f>L30+O30</f>
        <v>0</v>
      </c>
      <c r="K30" s="85"/>
      <c r="L30" s="85"/>
      <c r="M30" s="85"/>
      <c r="N30" s="85"/>
      <c r="O30" s="85"/>
      <c r="P30" s="85">
        <f>E30+J30</f>
        <v>44000</v>
      </c>
    </row>
    <row r="31" spans="1:16" s="78" customFormat="1" ht="51.75" customHeight="1">
      <c r="A31" s="80"/>
      <c r="B31" s="80" t="s">
        <v>131</v>
      </c>
      <c r="C31" s="80"/>
      <c r="D31" s="82" t="s">
        <v>132</v>
      </c>
      <c r="E31" s="83">
        <f t="shared" si="6"/>
        <v>1265464</v>
      </c>
      <c r="F31" s="83">
        <f>F32+F33</f>
        <v>1265464</v>
      </c>
      <c r="G31" s="83">
        <f>G32+G33</f>
        <v>0</v>
      </c>
      <c r="H31" s="83">
        <f>H32+H33</f>
        <v>0</v>
      </c>
      <c r="I31" s="83">
        <f>I32+I33</f>
        <v>0</v>
      </c>
      <c r="J31" s="83">
        <f>L31+O31</f>
        <v>958410</v>
      </c>
      <c r="K31" s="83">
        <f aca="true" t="shared" si="7" ref="K31:P31">K32+K33</f>
        <v>958410</v>
      </c>
      <c r="L31" s="83">
        <f t="shared" si="7"/>
        <v>0</v>
      </c>
      <c r="M31" s="83">
        <f t="shared" si="7"/>
        <v>0</v>
      </c>
      <c r="N31" s="83">
        <f t="shared" si="7"/>
        <v>0</v>
      </c>
      <c r="O31" s="83">
        <f t="shared" si="7"/>
        <v>958410</v>
      </c>
      <c r="P31" s="83">
        <f t="shared" si="7"/>
        <v>2223874</v>
      </c>
    </row>
    <row r="32" spans="1:16" s="90" customFormat="1" ht="55.5" customHeight="1">
      <c r="A32" s="193" t="s">
        <v>133</v>
      </c>
      <c r="B32" s="193" t="s">
        <v>134</v>
      </c>
      <c r="C32" s="193" t="s">
        <v>135</v>
      </c>
      <c r="D32" s="194" t="s">
        <v>136</v>
      </c>
      <c r="E32" s="195">
        <f t="shared" si="6"/>
        <v>1264164</v>
      </c>
      <c r="F32" s="195">
        <f>2514990-2478469+5400+4800+195000+195000+610300-16709+195000+78852-40000</f>
        <v>1264164</v>
      </c>
      <c r="G32" s="195"/>
      <c r="H32" s="195"/>
      <c r="I32" s="195"/>
      <c r="J32" s="195">
        <f>L32+O32</f>
        <v>958410</v>
      </c>
      <c r="K32" s="195">
        <f>O32</f>
        <v>958410</v>
      </c>
      <c r="L32" s="195">
        <v>0</v>
      </c>
      <c r="M32" s="195">
        <v>0</v>
      </c>
      <c r="N32" s="195">
        <v>0</v>
      </c>
      <c r="O32" s="195">
        <f>152000+206410+60000+500000+40000</f>
        <v>958410</v>
      </c>
      <c r="P32" s="195">
        <f>E32+J32</f>
        <v>2222574</v>
      </c>
    </row>
    <row r="33" spans="1:16" s="78" customFormat="1" ht="51.75" customHeight="1">
      <c r="A33" s="81" t="s">
        <v>137</v>
      </c>
      <c r="B33" s="81" t="s">
        <v>138</v>
      </c>
      <c r="C33" s="81" t="s">
        <v>139</v>
      </c>
      <c r="D33" s="84" t="s">
        <v>140</v>
      </c>
      <c r="E33" s="85">
        <f t="shared" si="6"/>
        <v>1300</v>
      </c>
      <c r="F33" s="85">
        <v>1300</v>
      </c>
      <c r="G33" s="85"/>
      <c r="H33" s="85"/>
      <c r="I33" s="85"/>
      <c r="J33" s="85">
        <v>0</v>
      </c>
      <c r="K33" s="85"/>
      <c r="L33" s="85"/>
      <c r="M33" s="85"/>
      <c r="N33" s="85"/>
      <c r="O33" s="85"/>
      <c r="P33" s="85">
        <f>E33+J33</f>
        <v>1300</v>
      </c>
    </row>
    <row r="34" spans="1:16" s="78" customFormat="1" ht="51.75" customHeight="1">
      <c r="A34" s="81"/>
      <c r="B34" s="80" t="s">
        <v>141</v>
      </c>
      <c r="C34" s="81"/>
      <c r="D34" s="94" t="s">
        <v>142</v>
      </c>
      <c r="E34" s="83">
        <f t="shared" si="6"/>
        <v>0</v>
      </c>
      <c r="F34" s="83">
        <f aca="true" t="shared" si="8" ref="F34:P34">F35</f>
        <v>0</v>
      </c>
      <c r="G34" s="83">
        <f t="shared" si="8"/>
        <v>0</v>
      </c>
      <c r="H34" s="83">
        <f t="shared" si="8"/>
        <v>0</v>
      </c>
      <c r="I34" s="83">
        <f t="shared" si="8"/>
        <v>0</v>
      </c>
      <c r="J34" s="83">
        <f t="shared" si="8"/>
        <v>4588000</v>
      </c>
      <c r="K34" s="83">
        <f t="shared" si="8"/>
        <v>4588000</v>
      </c>
      <c r="L34" s="83">
        <f t="shared" si="8"/>
        <v>0</v>
      </c>
      <c r="M34" s="83">
        <f t="shared" si="8"/>
        <v>0</v>
      </c>
      <c r="N34" s="83">
        <f t="shared" si="8"/>
        <v>0</v>
      </c>
      <c r="O34" s="83">
        <f t="shared" si="8"/>
        <v>4588000</v>
      </c>
      <c r="P34" s="83">
        <f t="shared" si="8"/>
        <v>4588000</v>
      </c>
    </row>
    <row r="35" spans="1:16" s="90" customFormat="1" ht="76.5" customHeight="1">
      <c r="A35" s="193" t="s">
        <v>143</v>
      </c>
      <c r="B35" s="193" t="s">
        <v>144</v>
      </c>
      <c r="C35" s="193" t="s">
        <v>145</v>
      </c>
      <c r="D35" s="196" t="s">
        <v>146</v>
      </c>
      <c r="E35" s="195">
        <f t="shared" si="6"/>
        <v>0</v>
      </c>
      <c r="F35" s="195">
        <v>0</v>
      </c>
      <c r="G35" s="195">
        <v>0</v>
      </c>
      <c r="H35" s="195">
        <v>0</v>
      </c>
      <c r="I35" s="195">
        <v>0</v>
      </c>
      <c r="J35" s="195">
        <f>L35+O35</f>
        <v>4588000</v>
      </c>
      <c r="K35" s="195">
        <v>4588000</v>
      </c>
      <c r="L35" s="195"/>
      <c r="M35" s="195"/>
      <c r="N35" s="195"/>
      <c r="O35" s="195">
        <v>4588000</v>
      </c>
      <c r="P35" s="195">
        <f>E35+J35</f>
        <v>4588000</v>
      </c>
    </row>
    <row r="36" spans="1:16" s="78" customFormat="1" ht="70.5" customHeight="1">
      <c r="A36" s="80" t="s">
        <v>147</v>
      </c>
      <c r="B36" s="81"/>
      <c r="C36" s="81"/>
      <c r="D36" s="82" t="s">
        <v>148</v>
      </c>
      <c r="E36" s="83">
        <f t="shared" si="6"/>
        <v>163261302.81</v>
      </c>
      <c r="F36" s="83">
        <f>F37</f>
        <v>163261302.81</v>
      </c>
      <c r="G36" s="83">
        <f>G37</f>
        <v>7928496</v>
      </c>
      <c r="H36" s="83">
        <f>H37</f>
        <v>336564</v>
      </c>
      <c r="I36" s="83">
        <f>I37</f>
        <v>0</v>
      </c>
      <c r="J36" s="83">
        <f>L36+O36</f>
        <v>1548222</v>
      </c>
      <c r="K36" s="83">
        <f>K37</f>
        <v>956685</v>
      </c>
      <c r="L36" s="83">
        <f>L37</f>
        <v>591537</v>
      </c>
      <c r="M36" s="83">
        <f>M37</f>
        <v>425646</v>
      </c>
      <c r="N36" s="83">
        <f>N37</f>
        <v>18066</v>
      </c>
      <c r="O36" s="83">
        <f>O37</f>
        <v>956685</v>
      </c>
      <c r="P36" s="83">
        <f>E36+J36</f>
        <v>164809524.81</v>
      </c>
    </row>
    <row r="37" spans="1:16" s="78" customFormat="1" ht="79.5" customHeight="1">
      <c r="A37" s="81" t="s">
        <v>149</v>
      </c>
      <c r="B37" s="80"/>
      <c r="C37" s="80"/>
      <c r="D37" s="84" t="s">
        <v>148</v>
      </c>
      <c r="E37" s="85">
        <f aca="true" t="shared" si="9" ref="E37:P37">E38+E62</f>
        <v>163261302.81</v>
      </c>
      <c r="F37" s="85">
        <f t="shared" si="9"/>
        <v>163261302.81</v>
      </c>
      <c r="G37" s="85">
        <f t="shared" si="9"/>
        <v>7928496</v>
      </c>
      <c r="H37" s="85">
        <f t="shared" si="9"/>
        <v>336564</v>
      </c>
      <c r="I37" s="85">
        <f t="shared" si="9"/>
        <v>0</v>
      </c>
      <c r="J37" s="85">
        <f t="shared" si="9"/>
        <v>1548222</v>
      </c>
      <c r="K37" s="85">
        <f t="shared" si="9"/>
        <v>956685</v>
      </c>
      <c r="L37" s="85">
        <f t="shared" si="9"/>
        <v>591537</v>
      </c>
      <c r="M37" s="85">
        <f t="shared" si="9"/>
        <v>425646</v>
      </c>
      <c r="N37" s="85">
        <f t="shared" si="9"/>
        <v>18066</v>
      </c>
      <c r="O37" s="85">
        <f t="shared" si="9"/>
        <v>956685</v>
      </c>
      <c r="P37" s="85">
        <f t="shared" si="9"/>
        <v>164809524.81</v>
      </c>
    </row>
    <row r="38" spans="1:16" s="78" customFormat="1" ht="55.5" customHeight="1">
      <c r="A38" s="80"/>
      <c r="B38" s="80" t="s">
        <v>93</v>
      </c>
      <c r="C38" s="80"/>
      <c r="D38" s="82" t="s">
        <v>94</v>
      </c>
      <c r="E38" s="83">
        <f>F38+I38</f>
        <v>163261302.81</v>
      </c>
      <c r="F38" s="83">
        <f>SUM(F39:F61)</f>
        <v>163261302.81</v>
      </c>
      <c r="G38" s="83">
        <f>SUM(G39:G61)</f>
        <v>7928496</v>
      </c>
      <c r="H38" s="83">
        <f>SUM(H39:H61)</f>
        <v>336564</v>
      </c>
      <c r="I38" s="83">
        <f>SUM(I39:I61)</f>
        <v>0</v>
      </c>
      <c r="J38" s="83">
        <f aca="true" t="shared" si="10" ref="J38:J61">L38+O38</f>
        <v>1014030</v>
      </c>
      <c r="K38" s="83">
        <f>SUM(K39:K61)</f>
        <v>422493</v>
      </c>
      <c r="L38" s="83">
        <f>SUM(L39:L61)</f>
        <v>591537</v>
      </c>
      <c r="M38" s="83">
        <f>SUM(M39:M61)</f>
        <v>425646</v>
      </c>
      <c r="N38" s="83">
        <f>SUM(N39:N61)</f>
        <v>18066</v>
      </c>
      <c r="O38" s="83">
        <f>SUM(O39:O61)</f>
        <v>422493</v>
      </c>
      <c r="P38" s="83">
        <f>E38+J38</f>
        <v>164275332.81</v>
      </c>
    </row>
    <row r="39" spans="1:16" s="90" customFormat="1" ht="69" customHeight="1">
      <c r="A39" s="193" t="s">
        <v>150</v>
      </c>
      <c r="B39" s="193" t="s">
        <v>151</v>
      </c>
      <c r="C39" s="193" t="s">
        <v>152</v>
      </c>
      <c r="D39" s="194" t="s">
        <v>153</v>
      </c>
      <c r="E39" s="195">
        <f aca="true" t="shared" si="11" ref="E39:E61">F39</f>
        <v>17723605.759999998</v>
      </c>
      <c r="F39" s="195">
        <f>5886450+6967081+3764299.01-303876.2+57334.65+9925.9+720000+627325.15-6418.63+1484.88</f>
        <v>17723605.759999998</v>
      </c>
      <c r="G39" s="195"/>
      <c r="H39" s="195"/>
      <c r="I39" s="195"/>
      <c r="J39" s="195">
        <f t="shared" si="10"/>
        <v>0</v>
      </c>
      <c r="K39" s="195"/>
      <c r="L39" s="195"/>
      <c r="M39" s="195"/>
      <c r="N39" s="195"/>
      <c r="O39" s="195"/>
      <c r="P39" s="195">
        <f aca="true" t="shared" si="12" ref="P39:P61">J39+E39</f>
        <v>17723605.759999998</v>
      </c>
    </row>
    <row r="40" spans="1:16" s="90" customFormat="1" ht="70.5" customHeight="1">
      <c r="A40" s="193" t="s">
        <v>154</v>
      </c>
      <c r="B40" s="193" t="s">
        <v>155</v>
      </c>
      <c r="C40" s="193" t="s">
        <v>156</v>
      </c>
      <c r="D40" s="194" t="s">
        <v>157</v>
      </c>
      <c r="E40" s="195">
        <f t="shared" si="11"/>
        <v>31070795.050000004</v>
      </c>
      <c r="F40" s="195">
        <f>59131850-6967081-21684322-57334.65-9925.9+652674.85+6418.63-1484.88</f>
        <v>31070795.050000004</v>
      </c>
      <c r="G40" s="195"/>
      <c r="H40" s="195"/>
      <c r="I40" s="195"/>
      <c r="J40" s="195">
        <f t="shared" si="10"/>
        <v>0</v>
      </c>
      <c r="K40" s="195"/>
      <c r="L40" s="195"/>
      <c r="M40" s="195"/>
      <c r="N40" s="195"/>
      <c r="O40" s="195"/>
      <c r="P40" s="195">
        <f t="shared" si="12"/>
        <v>31070795.050000004</v>
      </c>
    </row>
    <row r="41" spans="1:16" s="78" customFormat="1" ht="96.75" customHeight="1">
      <c r="A41" s="81" t="s">
        <v>158</v>
      </c>
      <c r="B41" s="81" t="s">
        <v>159</v>
      </c>
      <c r="C41" s="81" t="s">
        <v>152</v>
      </c>
      <c r="D41" s="84" t="s">
        <v>160</v>
      </c>
      <c r="E41" s="85">
        <f t="shared" si="11"/>
        <v>170903</v>
      </c>
      <c r="F41" s="85">
        <v>170903</v>
      </c>
      <c r="G41" s="85"/>
      <c r="H41" s="85"/>
      <c r="I41" s="85"/>
      <c r="J41" s="85">
        <f t="shared" si="10"/>
        <v>0</v>
      </c>
      <c r="K41" s="85"/>
      <c r="L41" s="85"/>
      <c r="M41" s="85"/>
      <c r="N41" s="85"/>
      <c r="O41" s="85"/>
      <c r="P41" s="85">
        <f t="shared" si="12"/>
        <v>170903</v>
      </c>
    </row>
    <row r="42" spans="1:16" s="90" customFormat="1" ht="67.5" customHeight="1">
      <c r="A42" s="193" t="s">
        <v>161</v>
      </c>
      <c r="B42" s="193" t="s">
        <v>162</v>
      </c>
      <c r="C42" s="193" t="s">
        <v>156</v>
      </c>
      <c r="D42" s="194" t="s">
        <v>163</v>
      </c>
      <c r="E42" s="195">
        <f t="shared" si="11"/>
        <v>829497</v>
      </c>
      <c r="F42" s="195">
        <f>849497-20000</f>
        <v>829497</v>
      </c>
      <c r="G42" s="195"/>
      <c r="H42" s="195"/>
      <c r="I42" s="195"/>
      <c r="J42" s="195">
        <f t="shared" si="10"/>
        <v>0</v>
      </c>
      <c r="K42" s="195"/>
      <c r="L42" s="195"/>
      <c r="M42" s="195"/>
      <c r="N42" s="195"/>
      <c r="O42" s="195"/>
      <c r="P42" s="195">
        <f t="shared" si="12"/>
        <v>829497</v>
      </c>
    </row>
    <row r="43" spans="1:16" s="78" customFormat="1" ht="54" customHeight="1">
      <c r="A43" s="97" t="s">
        <v>164</v>
      </c>
      <c r="B43" s="97" t="s">
        <v>165</v>
      </c>
      <c r="C43" s="97" t="s">
        <v>97</v>
      </c>
      <c r="D43" s="98" t="s">
        <v>166</v>
      </c>
      <c r="E43" s="85">
        <f t="shared" si="11"/>
        <v>705626</v>
      </c>
      <c r="F43" s="89">
        <f>804333-98707</f>
        <v>705626</v>
      </c>
      <c r="G43" s="85"/>
      <c r="H43" s="85"/>
      <c r="I43" s="85"/>
      <c r="J43" s="85">
        <f t="shared" si="10"/>
        <v>0</v>
      </c>
      <c r="K43" s="85"/>
      <c r="L43" s="85"/>
      <c r="M43" s="85"/>
      <c r="N43" s="85"/>
      <c r="O43" s="85"/>
      <c r="P43" s="85">
        <f t="shared" si="12"/>
        <v>705626</v>
      </c>
    </row>
    <row r="44" spans="1:16" s="78" customFormat="1" ht="54" customHeight="1">
      <c r="A44" s="97" t="s">
        <v>167</v>
      </c>
      <c r="B44" s="97" t="s">
        <v>168</v>
      </c>
      <c r="C44" s="97" t="s">
        <v>97</v>
      </c>
      <c r="D44" s="99" t="s">
        <v>169</v>
      </c>
      <c r="E44" s="85">
        <f t="shared" si="11"/>
        <v>144480</v>
      </c>
      <c r="F44" s="89">
        <f>237360-92880</f>
        <v>144480</v>
      </c>
      <c r="G44" s="85"/>
      <c r="H44" s="85"/>
      <c r="I44" s="85"/>
      <c r="J44" s="85">
        <f t="shared" si="10"/>
        <v>0</v>
      </c>
      <c r="K44" s="85"/>
      <c r="L44" s="85"/>
      <c r="M44" s="85"/>
      <c r="N44" s="85"/>
      <c r="O44" s="85"/>
      <c r="P44" s="85">
        <f t="shared" si="12"/>
        <v>144480</v>
      </c>
    </row>
    <row r="45" spans="1:16" s="78" customFormat="1" ht="55.5" customHeight="1">
      <c r="A45" s="97" t="s">
        <v>170</v>
      </c>
      <c r="B45" s="97" t="s">
        <v>171</v>
      </c>
      <c r="C45" s="97" t="s">
        <v>97</v>
      </c>
      <c r="D45" s="98" t="s">
        <v>172</v>
      </c>
      <c r="E45" s="85">
        <f t="shared" si="11"/>
        <v>29294860</v>
      </c>
      <c r="F45" s="89">
        <f>33433180-4138320</f>
        <v>29294860</v>
      </c>
      <c r="G45" s="85"/>
      <c r="H45" s="85"/>
      <c r="I45" s="85"/>
      <c r="J45" s="85">
        <f t="shared" si="10"/>
        <v>0</v>
      </c>
      <c r="K45" s="85"/>
      <c r="L45" s="85"/>
      <c r="M45" s="85"/>
      <c r="N45" s="85"/>
      <c r="O45" s="85"/>
      <c r="P45" s="85">
        <f t="shared" si="12"/>
        <v>29294860</v>
      </c>
    </row>
    <row r="46" spans="1:16" s="78" customFormat="1" ht="52.5" customHeight="1">
      <c r="A46" s="97" t="s">
        <v>173</v>
      </c>
      <c r="B46" s="97" t="s">
        <v>174</v>
      </c>
      <c r="C46" s="97" t="s">
        <v>97</v>
      </c>
      <c r="D46" s="99" t="s">
        <v>175</v>
      </c>
      <c r="E46" s="85">
        <f t="shared" si="11"/>
        <v>3959005</v>
      </c>
      <c r="F46" s="89">
        <f>4565388-606383</f>
        <v>3959005</v>
      </c>
      <c r="G46" s="85"/>
      <c r="H46" s="100"/>
      <c r="I46" s="85"/>
      <c r="J46" s="85">
        <f t="shared" si="10"/>
        <v>0</v>
      </c>
      <c r="K46" s="85"/>
      <c r="L46" s="85"/>
      <c r="M46" s="85"/>
      <c r="N46" s="85"/>
      <c r="O46" s="85"/>
      <c r="P46" s="85">
        <f t="shared" si="12"/>
        <v>3959005</v>
      </c>
    </row>
    <row r="47" spans="1:16" s="78" customFormat="1" ht="52.5" customHeight="1">
      <c r="A47" s="97" t="s">
        <v>176</v>
      </c>
      <c r="B47" s="97" t="s">
        <v>177</v>
      </c>
      <c r="C47" s="97" t="s">
        <v>97</v>
      </c>
      <c r="D47" s="99" t="s">
        <v>178</v>
      </c>
      <c r="E47" s="85">
        <f t="shared" si="11"/>
        <v>16938497</v>
      </c>
      <c r="F47" s="89">
        <f>18587617-231690-1417430</f>
        <v>16938497</v>
      </c>
      <c r="G47" s="85"/>
      <c r="H47" s="85"/>
      <c r="I47" s="85"/>
      <c r="J47" s="85">
        <f t="shared" si="10"/>
        <v>0</v>
      </c>
      <c r="K47" s="85"/>
      <c r="L47" s="85"/>
      <c r="M47" s="85"/>
      <c r="N47" s="85"/>
      <c r="O47" s="85"/>
      <c r="P47" s="85">
        <f t="shared" si="12"/>
        <v>16938497</v>
      </c>
    </row>
    <row r="48" spans="1:16" s="78" customFormat="1" ht="52.5" customHeight="1">
      <c r="A48" s="97" t="s">
        <v>179</v>
      </c>
      <c r="B48" s="97" t="s">
        <v>180</v>
      </c>
      <c r="C48" s="97" t="s">
        <v>97</v>
      </c>
      <c r="D48" s="99" t="s">
        <v>181</v>
      </c>
      <c r="E48" s="85">
        <f t="shared" si="11"/>
        <v>505358</v>
      </c>
      <c r="F48" s="89">
        <f>664406-159048</f>
        <v>505358</v>
      </c>
      <c r="G48" s="85"/>
      <c r="H48" s="85"/>
      <c r="I48" s="85"/>
      <c r="J48" s="85">
        <f t="shared" si="10"/>
        <v>0</v>
      </c>
      <c r="K48" s="85"/>
      <c r="L48" s="85"/>
      <c r="M48" s="85"/>
      <c r="N48" s="85"/>
      <c r="O48" s="85"/>
      <c r="P48" s="85">
        <f t="shared" si="12"/>
        <v>505358</v>
      </c>
    </row>
    <row r="49" spans="1:16" s="78" customFormat="1" ht="54" customHeight="1">
      <c r="A49" s="97" t="s">
        <v>182</v>
      </c>
      <c r="B49" s="97" t="s">
        <v>183</v>
      </c>
      <c r="C49" s="97" t="s">
        <v>97</v>
      </c>
      <c r="D49" s="99" t="s">
        <v>184</v>
      </c>
      <c r="E49" s="85">
        <f t="shared" si="11"/>
        <v>15698742</v>
      </c>
      <c r="F49" s="89">
        <f>15774502-75760</f>
        <v>15698742</v>
      </c>
      <c r="G49" s="85"/>
      <c r="H49" s="85"/>
      <c r="I49" s="85"/>
      <c r="J49" s="85">
        <f t="shared" si="10"/>
        <v>0</v>
      </c>
      <c r="K49" s="85"/>
      <c r="L49" s="85"/>
      <c r="M49" s="85"/>
      <c r="N49" s="85"/>
      <c r="O49" s="85"/>
      <c r="P49" s="85">
        <f t="shared" si="12"/>
        <v>15698742</v>
      </c>
    </row>
    <row r="50" spans="1:16" s="78" customFormat="1" ht="59.25" customHeight="1">
      <c r="A50" s="97" t="s">
        <v>185</v>
      </c>
      <c r="B50" s="97" t="s">
        <v>186</v>
      </c>
      <c r="C50" s="97" t="s">
        <v>97</v>
      </c>
      <c r="D50" s="99" t="s">
        <v>187</v>
      </c>
      <c r="E50" s="85">
        <f t="shared" si="11"/>
        <v>75760</v>
      </c>
      <c r="F50" s="89">
        <v>75760</v>
      </c>
      <c r="G50" s="85"/>
      <c r="H50" s="85"/>
      <c r="I50" s="85"/>
      <c r="J50" s="85">
        <f t="shared" si="10"/>
        <v>0</v>
      </c>
      <c r="K50" s="85"/>
      <c r="L50" s="85"/>
      <c r="M50" s="85"/>
      <c r="N50" s="85"/>
      <c r="O50" s="85"/>
      <c r="P50" s="85">
        <f t="shared" si="12"/>
        <v>75760</v>
      </c>
    </row>
    <row r="51" spans="1:16" s="86" customFormat="1" ht="69" customHeight="1">
      <c r="A51" s="97" t="s">
        <v>188</v>
      </c>
      <c r="B51" s="97" t="s">
        <v>189</v>
      </c>
      <c r="C51" s="97" t="s">
        <v>190</v>
      </c>
      <c r="D51" s="84" t="s">
        <v>191</v>
      </c>
      <c r="E51" s="85">
        <f t="shared" si="11"/>
        <v>17656320</v>
      </c>
      <c r="F51" s="89">
        <f>18120524-464204</f>
        <v>17656320</v>
      </c>
      <c r="G51" s="85"/>
      <c r="H51" s="85"/>
      <c r="I51" s="85"/>
      <c r="J51" s="85">
        <f t="shared" si="10"/>
        <v>0</v>
      </c>
      <c r="K51" s="85"/>
      <c r="L51" s="85"/>
      <c r="M51" s="85"/>
      <c r="N51" s="85"/>
      <c r="O51" s="85"/>
      <c r="P51" s="85">
        <f t="shared" si="12"/>
        <v>17656320</v>
      </c>
    </row>
    <row r="52" spans="1:16" s="86" customFormat="1" ht="99.75" customHeight="1">
      <c r="A52" s="97" t="s">
        <v>192</v>
      </c>
      <c r="B52" s="97" t="s">
        <v>193</v>
      </c>
      <c r="C52" s="97" t="s">
        <v>190</v>
      </c>
      <c r="D52" s="84" t="s">
        <v>194</v>
      </c>
      <c r="E52" s="85">
        <f t="shared" si="11"/>
        <v>4665385</v>
      </c>
      <c r="F52" s="89">
        <v>4665385</v>
      </c>
      <c r="G52" s="85"/>
      <c r="H52" s="85"/>
      <c r="I52" s="85"/>
      <c r="J52" s="85">
        <f t="shared" si="10"/>
        <v>0</v>
      </c>
      <c r="K52" s="85"/>
      <c r="L52" s="85"/>
      <c r="M52" s="85"/>
      <c r="N52" s="85"/>
      <c r="O52" s="85"/>
      <c r="P52" s="85">
        <f t="shared" si="12"/>
        <v>4665385</v>
      </c>
    </row>
    <row r="53" spans="1:16" s="86" customFormat="1" ht="73.5" customHeight="1">
      <c r="A53" s="97" t="s">
        <v>195</v>
      </c>
      <c r="B53" s="97" t="s">
        <v>196</v>
      </c>
      <c r="C53" s="97" t="s">
        <v>190</v>
      </c>
      <c r="D53" s="84" t="s">
        <v>197</v>
      </c>
      <c r="E53" s="85">
        <f t="shared" si="11"/>
        <v>2763455</v>
      </c>
      <c r="F53" s="89">
        <v>2763455</v>
      </c>
      <c r="G53" s="85"/>
      <c r="H53" s="85"/>
      <c r="I53" s="85"/>
      <c r="J53" s="85">
        <f t="shared" si="10"/>
        <v>0</v>
      </c>
      <c r="K53" s="85"/>
      <c r="L53" s="85"/>
      <c r="M53" s="85"/>
      <c r="N53" s="85"/>
      <c r="O53" s="85"/>
      <c r="P53" s="85">
        <f t="shared" si="12"/>
        <v>2763455</v>
      </c>
    </row>
    <row r="54" spans="1:16" s="102" customFormat="1" ht="96.75" customHeight="1">
      <c r="A54" s="101" t="s">
        <v>198</v>
      </c>
      <c r="B54" s="101" t="s">
        <v>199</v>
      </c>
      <c r="C54" s="101" t="s">
        <v>97</v>
      </c>
      <c r="D54" s="88" t="s">
        <v>200</v>
      </c>
      <c r="E54" s="89">
        <f t="shared" si="11"/>
        <v>682281</v>
      </c>
      <c r="F54" s="89">
        <f>461001+221280</f>
        <v>682281</v>
      </c>
      <c r="G54" s="89"/>
      <c r="H54" s="89"/>
      <c r="I54" s="89"/>
      <c r="J54" s="89">
        <f t="shared" si="10"/>
        <v>0</v>
      </c>
      <c r="K54" s="89"/>
      <c r="L54" s="89"/>
      <c r="M54" s="89"/>
      <c r="N54" s="89"/>
      <c r="O54" s="89"/>
      <c r="P54" s="89">
        <f t="shared" si="12"/>
        <v>682281</v>
      </c>
    </row>
    <row r="55" spans="1:16" s="86" customFormat="1" ht="101.25" customHeight="1">
      <c r="A55" s="97" t="s">
        <v>201</v>
      </c>
      <c r="B55" s="97" t="s">
        <v>202</v>
      </c>
      <c r="C55" s="97" t="s">
        <v>190</v>
      </c>
      <c r="D55" s="84" t="s">
        <v>203</v>
      </c>
      <c r="E55" s="85">
        <f t="shared" si="11"/>
        <v>3049</v>
      </c>
      <c r="F55" s="89">
        <v>3049</v>
      </c>
      <c r="G55" s="85"/>
      <c r="H55" s="85"/>
      <c r="I55" s="85"/>
      <c r="J55" s="85">
        <f t="shared" si="10"/>
        <v>0</v>
      </c>
      <c r="K55" s="85"/>
      <c r="L55" s="85"/>
      <c r="M55" s="85"/>
      <c r="N55" s="85"/>
      <c r="O55" s="85"/>
      <c r="P55" s="85">
        <f t="shared" si="12"/>
        <v>3049</v>
      </c>
    </row>
    <row r="56" spans="1:16" s="86" customFormat="1" ht="233.25" customHeight="1">
      <c r="A56" s="97" t="s">
        <v>204</v>
      </c>
      <c r="B56" s="97" t="s">
        <v>205</v>
      </c>
      <c r="C56" s="97" t="s">
        <v>97</v>
      </c>
      <c r="D56" s="84" t="s">
        <v>206</v>
      </c>
      <c r="E56" s="85">
        <f t="shared" si="11"/>
        <v>148282</v>
      </c>
      <c r="F56" s="89">
        <f>231690-83408</f>
        <v>148282</v>
      </c>
      <c r="G56" s="85"/>
      <c r="H56" s="85"/>
      <c r="I56" s="85"/>
      <c r="J56" s="85">
        <f t="shared" si="10"/>
        <v>0</v>
      </c>
      <c r="K56" s="85"/>
      <c r="L56" s="85"/>
      <c r="M56" s="85"/>
      <c r="N56" s="85"/>
      <c r="O56" s="85"/>
      <c r="P56" s="85">
        <f t="shared" si="12"/>
        <v>148282</v>
      </c>
    </row>
    <row r="57" spans="1:16" s="86" customFormat="1" ht="62.25" customHeight="1">
      <c r="A57" s="97" t="s">
        <v>207</v>
      </c>
      <c r="B57" s="97" t="s">
        <v>208</v>
      </c>
      <c r="C57" s="97" t="s">
        <v>97</v>
      </c>
      <c r="D57" s="99" t="s">
        <v>209</v>
      </c>
      <c r="E57" s="85">
        <f t="shared" si="11"/>
        <v>6839100</v>
      </c>
      <c r="F57" s="89">
        <f>6839100</f>
        <v>6839100</v>
      </c>
      <c r="G57" s="85"/>
      <c r="H57" s="85"/>
      <c r="I57" s="85"/>
      <c r="J57" s="85">
        <f t="shared" si="10"/>
        <v>0</v>
      </c>
      <c r="K57" s="85"/>
      <c r="L57" s="85"/>
      <c r="M57" s="85"/>
      <c r="N57" s="85"/>
      <c r="O57" s="85"/>
      <c r="P57" s="85">
        <f t="shared" si="12"/>
        <v>6839100</v>
      </c>
    </row>
    <row r="58" spans="1:16" s="90" customFormat="1" ht="99" customHeight="1">
      <c r="A58" s="197" t="s">
        <v>210</v>
      </c>
      <c r="B58" s="197" t="s">
        <v>211</v>
      </c>
      <c r="C58" s="197" t="s">
        <v>212</v>
      </c>
      <c r="D58" s="198" t="s">
        <v>213</v>
      </c>
      <c r="E58" s="195">
        <f t="shared" si="11"/>
        <v>10340572</v>
      </c>
      <c r="F58" s="195">
        <f>10340761+75202+7042-14900-46303-21230</f>
        <v>10340572</v>
      </c>
      <c r="G58" s="195">
        <v>7928496</v>
      </c>
      <c r="H58" s="195">
        <f>414664-10905-46303+338-21230</f>
        <v>336564</v>
      </c>
      <c r="I58" s="195"/>
      <c r="J58" s="195">
        <f t="shared" si="10"/>
        <v>1014030</v>
      </c>
      <c r="K58" s="195">
        <f>O58</f>
        <v>422493</v>
      </c>
      <c r="L58" s="195">
        <v>591537</v>
      </c>
      <c r="M58" s="195">
        <v>425646</v>
      </c>
      <c r="N58" s="195">
        <v>18066</v>
      </c>
      <c r="O58" s="195">
        <f>60060+14900+46303+250000+30000+21230</f>
        <v>422493</v>
      </c>
      <c r="P58" s="195">
        <f t="shared" si="12"/>
        <v>11354602</v>
      </c>
    </row>
    <row r="59" spans="1:16" s="78" customFormat="1" ht="123.75" customHeight="1">
      <c r="A59" s="97" t="s">
        <v>214</v>
      </c>
      <c r="B59" s="97" t="s">
        <v>215</v>
      </c>
      <c r="C59" s="97" t="s">
        <v>190</v>
      </c>
      <c r="D59" s="84" t="s">
        <v>216</v>
      </c>
      <c r="E59" s="85">
        <f t="shared" si="11"/>
        <v>574259</v>
      </c>
      <c r="F59" s="85">
        <f>533158+41101</f>
        <v>574259</v>
      </c>
      <c r="G59" s="85"/>
      <c r="H59" s="85"/>
      <c r="I59" s="85"/>
      <c r="J59" s="85">
        <f t="shared" si="10"/>
        <v>0</v>
      </c>
      <c r="K59" s="85"/>
      <c r="L59" s="85"/>
      <c r="M59" s="85"/>
      <c r="N59" s="85"/>
      <c r="O59" s="85"/>
      <c r="P59" s="85">
        <f t="shared" si="12"/>
        <v>574259</v>
      </c>
    </row>
    <row r="60" spans="1:16" s="90" customFormat="1" ht="249" customHeight="1">
      <c r="A60" s="197" t="s">
        <v>217</v>
      </c>
      <c r="B60" s="197" t="s">
        <v>218</v>
      </c>
      <c r="C60" s="197" t="s">
        <v>97</v>
      </c>
      <c r="D60" s="194" t="s">
        <v>219</v>
      </c>
      <c r="E60" s="195">
        <f t="shared" si="11"/>
        <v>2068362</v>
      </c>
      <c r="F60" s="195">
        <f>2046262+22100</f>
        <v>2068362</v>
      </c>
      <c r="G60" s="195"/>
      <c r="H60" s="195"/>
      <c r="I60" s="195"/>
      <c r="J60" s="195">
        <f t="shared" si="10"/>
        <v>0</v>
      </c>
      <c r="K60" s="195"/>
      <c r="L60" s="195"/>
      <c r="M60" s="195"/>
      <c r="N60" s="195"/>
      <c r="O60" s="195"/>
      <c r="P60" s="195">
        <f t="shared" si="12"/>
        <v>2068362</v>
      </c>
    </row>
    <row r="61" spans="1:16" s="78" customFormat="1" ht="55.5" customHeight="1">
      <c r="A61" s="97" t="s">
        <v>220</v>
      </c>
      <c r="B61" s="97" t="s">
        <v>116</v>
      </c>
      <c r="C61" s="97" t="s">
        <v>117</v>
      </c>
      <c r="D61" s="88" t="s">
        <v>118</v>
      </c>
      <c r="E61" s="89">
        <f t="shared" si="11"/>
        <v>403109</v>
      </c>
      <c r="F61" s="89">
        <f>444210-41101</f>
        <v>403109</v>
      </c>
      <c r="G61" s="85"/>
      <c r="H61" s="85"/>
      <c r="I61" s="85"/>
      <c r="J61" s="85">
        <f t="shared" si="10"/>
        <v>0</v>
      </c>
      <c r="K61" s="85"/>
      <c r="L61" s="85"/>
      <c r="M61" s="85"/>
      <c r="N61" s="85"/>
      <c r="O61" s="85"/>
      <c r="P61" s="85">
        <f t="shared" si="12"/>
        <v>403109</v>
      </c>
    </row>
    <row r="62" spans="1:16" s="78" customFormat="1" ht="55.5" customHeight="1">
      <c r="A62" s="97"/>
      <c r="B62" s="80" t="s">
        <v>131</v>
      </c>
      <c r="C62" s="80"/>
      <c r="D62" s="82" t="s">
        <v>132</v>
      </c>
      <c r="E62" s="96">
        <f aca="true" t="shared" si="13" ref="E62:P62">E63</f>
        <v>0</v>
      </c>
      <c r="F62" s="96">
        <f t="shared" si="13"/>
        <v>0</v>
      </c>
      <c r="G62" s="96">
        <f t="shared" si="13"/>
        <v>0</v>
      </c>
      <c r="H62" s="96">
        <f t="shared" si="13"/>
        <v>0</v>
      </c>
      <c r="I62" s="96">
        <f t="shared" si="13"/>
        <v>0</v>
      </c>
      <c r="J62" s="96">
        <f t="shared" si="13"/>
        <v>534192</v>
      </c>
      <c r="K62" s="96">
        <f t="shared" si="13"/>
        <v>534192</v>
      </c>
      <c r="L62" s="96">
        <f t="shared" si="13"/>
        <v>0</v>
      </c>
      <c r="M62" s="96">
        <f t="shared" si="13"/>
        <v>0</v>
      </c>
      <c r="N62" s="96">
        <f t="shared" si="13"/>
        <v>0</v>
      </c>
      <c r="O62" s="96">
        <f t="shared" si="13"/>
        <v>534192</v>
      </c>
      <c r="P62" s="96">
        <f t="shared" si="13"/>
        <v>534192</v>
      </c>
    </row>
    <row r="63" spans="1:16" s="78" customFormat="1" ht="141" customHeight="1">
      <c r="A63" s="97" t="s">
        <v>221</v>
      </c>
      <c r="B63" s="97" t="s">
        <v>222</v>
      </c>
      <c r="C63" s="97" t="s">
        <v>223</v>
      </c>
      <c r="D63" s="88" t="s">
        <v>224</v>
      </c>
      <c r="E63" s="89">
        <f>F63</f>
        <v>0</v>
      </c>
      <c r="F63" s="89">
        <v>0</v>
      </c>
      <c r="G63" s="85"/>
      <c r="H63" s="85">
        <v>0</v>
      </c>
      <c r="I63" s="85"/>
      <c r="J63" s="85">
        <f>L63+O63</f>
        <v>534192</v>
      </c>
      <c r="K63" s="85">
        <v>534192</v>
      </c>
      <c r="L63" s="85">
        <v>0</v>
      </c>
      <c r="M63" s="85">
        <v>0</v>
      </c>
      <c r="N63" s="85">
        <v>0</v>
      </c>
      <c r="O63" s="85">
        <v>534192</v>
      </c>
      <c r="P63" s="85">
        <f>J63+E63</f>
        <v>534192</v>
      </c>
    </row>
    <row r="64" spans="1:16" s="78" customFormat="1" ht="80.25" customHeight="1">
      <c r="A64" s="103" t="s">
        <v>225</v>
      </c>
      <c r="B64" s="103"/>
      <c r="C64" s="103"/>
      <c r="D64" s="104" t="s">
        <v>226</v>
      </c>
      <c r="E64" s="96">
        <f aca="true" t="shared" si="14" ref="E64:P64">E65</f>
        <v>2109716</v>
      </c>
      <c r="F64" s="96">
        <f t="shared" si="14"/>
        <v>2109716</v>
      </c>
      <c r="G64" s="96">
        <f t="shared" si="14"/>
        <v>0</v>
      </c>
      <c r="H64" s="96">
        <f t="shared" si="14"/>
        <v>176536</v>
      </c>
      <c r="I64" s="96">
        <f t="shared" si="14"/>
        <v>0</v>
      </c>
      <c r="J64" s="96">
        <f t="shared" si="14"/>
        <v>2083254</v>
      </c>
      <c r="K64" s="96">
        <f t="shared" si="14"/>
        <v>2060000</v>
      </c>
      <c r="L64" s="96">
        <f t="shared" si="14"/>
        <v>23254</v>
      </c>
      <c r="M64" s="96">
        <f t="shared" si="14"/>
        <v>0</v>
      </c>
      <c r="N64" s="96">
        <f t="shared" si="14"/>
        <v>0</v>
      </c>
      <c r="O64" s="96">
        <f t="shared" si="14"/>
        <v>2060000</v>
      </c>
      <c r="P64" s="96">
        <f t="shared" si="14"/>
        <v>4192970</v>
      </c>
    </row>
    <row r="65" spans="1:16" s="78" customFormat="1" ht="66.75" customHeight="1">
      <c r="A65" s="105" t="s">
        <v>227</v>
      </c>
      <c r="B65" s="103"/>
      <c r="C65" s="103"/>
      <c r="D65" s="25" t="s">
        <v>226</v>
      </c>
      <c r="E65" s="89">
        <f>E66+E68</f>
        <v>2109716</v>
      </c>
      <c r="F65" s="89">
        <f>F66+F68</f>
        <v>2109716</v>
      </c>
      <c r="G65" s="89">
        <f>G66</f>
        <v>0</v>
      </c>
      <c r="H65" s="89">
        <f>H66+H68</f>
        <v>176536</v>
      </c>
      <c r="I65" s="89">
        <f>I66</f>
        <v>0</v>
      </c>
      <c r="J65" s="89">
        <f aca="true" t="shared" si="15" ref="J65:P65">J66+J68</f>
        <v>2083254</v>
      </c>
      <c r="K65" s="89">
        <f t="shared" si="15"/>
        <v>2060000</v>
      </c>
      <c r="L65" s="89">
        <f t="shared" si="15"/>
        <v>23254</v>
      </c>
      <c r="M65" s="89">
        <f t="shared" si="15"/>
        <v>0</v>
      </c>
      <c r="N65" s="89">
        <f t="shared" si="15"/>
        <v>0</v>
      </c>
      <c r="O65" s="89">
        <f t="shared" si="15"/>
        <v>2060000</v>
      </c>
      <c r="P65" s="89">
        <f t="shared" si="15"/>
        <v>4192970</v>
      </c>
    </row>
    <row r="66" spans="1:16" s="78" customFormat="1" ht="54" customHeight="1">
      <c r="A66" s="80"/>
      <c r="B66" s="80" t="s">
        <v>131</v>
      </c>
      <c r="C66" s="80"/>
      <c r="D66" s="82" t="s">
        <v>132</v>
      </c>
      <c r="E66" s="96">
        <f>E67</f>
        <v>2109716</v>
      </c>
      <c r="F66" s="96">
        <f>F67</f>
        <v>2109716</v>
      </c>
      <c r="G66" s="96">
        <f>G67</f>
        <v>0</v>
      </c>
      <c r="H66" s="96">
        <f>H67</f>
        <v>176536</v>
      </c>
      <c r="I66" s="96">
        <f>I67</f>
        <v>0</v>
      </c>
      <c r="J66" s="96">
        <f>J67</f>
        <v>23254</v>
      </c>
      <c r="K66" s="96">
        <f>K67</f>
        <v>0</v>
      </c>
      <c r="L66" s="96">
        <f>L67+L68</f>
        <v>23254</v>
      </c>
      <c r="M66" s="96">
        <f>M67</f>
        <v>0</v>
      </c>
      <c r="N66" s="96">
        <f>N67</f>
        <v>0</v>
      </c>
      <c r="O66" s="96">
        <f>O67</f>
        <v>0</v>
      </c>
      <c r="P66" s="96">
        <f>P67</f>
        <v>2132970</v>
      </c>
    </row>
    <row r="67" spans="1:16" s="90" customFormat="1" ht="54" customHeight="1">
      <c r="A67" s="193" t="s">
        <v>228</v>
      </c>
      <c r="B67" s="193" t="s">
        <v>134</v>
      </c>
      <c r="C67" s="193" t="s">
        <v>135</v>
      </c>
      <c r="D67" s="194" t="s">
        <v>136</v>
      </c>
      <c r="E67" s="195">
        <f>F67</f>
        <v>2109716</v>
      </c>
      <c r="F67" s="195">
        <f>2514990-36521-211810-60000-4800+16709-30000-78852</f>
        <v>2109716</v>
      </c>
      <c r="G67" s="195"/>
      <c r="H67" s="195">
        <f>181088+21892-26444</f>
        <v>176536</v>
      </c>
      <c r="I67" s="195"/>
      <c r="J67" s="195">
        <f>L67+O67</f>
        <v>23254</v>
      </c>
      <c r="K67" s="195"/>
      <c r="L67" s="195">
        <v>23254</v>
      </c>
      <c r="M67" s="195"/>
      <c r="N67" s="195"/>
      <c r="O67" s="195"/>
      <c r="P67" s="195">
        <f>J67+E67</f>
        <v>2132970</v>
      </c>
    </row>
    <row r="68" spans="1:16" s="78" customFormat="1" ht="54" customHeight="1">
      <c r="A68" s="81"/>
      <c r="B68" s="106" t="s">
        <v>141</v>
      </c>
      <c r="C68" s="106"/>
      <c r="D68" s="94" t="s">
        <v>142</v>
      </c>
      <c r="E68" s="96">
        <f aca="true" t="shared" si="16" ref="E68:P68">E69</f>
        <v>0</v>
      </c>
      <c r="F68" s="96">
        <f t="shared" si="16"/>
        <v>0</v>
      </c>
      <c r="G68" s="96">
        <f t="shared" si="16"/>
        <v>0</v>
      </c>
      <c r="H68" s="96">
        <f t="shared" si="16"/>
        <v>0</v>
      </c>
      <c r="I68" s="96">
        <f t="shared" si="16"/>
        <v>0</v>
      </c>
      <c r="J68" s="96">
        <f t="shared" si="16"/>
        <v>2060000</v>
      </c>
      <c r="K68" s="96">
        <f t="shared" si="16"/>
        <v>2060000</v>
      </c>
      <c r="L68" s="96">
        <f t="shared" si="16"/>
        <v>0</v>
      </c>
      <c r="M68" s="96">
        <f t="shared" si="16"/>
        <v>0</v>
      </c>
      <c r="N68" s="96">
        <f t="shared" si="16"/>
        <v>0</v>
      </c>
      <c r="O68" s="96">
        <f t="shared" si="16"/>
        <v>2060000</v>
      </c>
      <c r="P68" s="96">
        <f t="shared" si="16"/>
        <v>2060000</v>
      </c>
    </row>
    <row r="69" spans="1:16" s="78" customFormat="1" ht="63.75" customHeight="1">
      <c r="A69" s="81" t="s">
        <v>229</v>
      </c>
      <c r="B69" s="81" t="s">
        <v>144</v>
      </c>
      <c r="C69" s="107" t="s">
        <v>145</v>
      </c>
      <c r="D69" s="88" t="s">
        <v>146</v>
      </c>
      <c r="E69" s="89">
        <f>F69</f>
        <v>0</v>
      </c>
      <c r="F69" s="89">
        <v>0</v>
      </c>
      <c r="G69" s="85"/>
      <c r="H69" s="85">
        <v>0</v>
      </c>
      <c r="I69" s="85"/>
      <c r="J69" s="85">
        <f>L69+O69</f>
        <v>2060000</v>
      </c>
      <c r="K69" s="85">
        <v>2060000</v>
      </c>
      <c r="L69" s="85">
        <v>0</v>
      </c>
      <c r="M69" s="85">
        <v>0</v>
      </c>
      <c r="N69" s="85">
        <v>0</v>
      </c>
      <c r="O69" s="85">
        <v>2060000</v>
      </c>
      <c r="P69" s="85">
        <f>J69+E69</f>
        <v>2060000</v>
      </c>
    </row>
    <row r="70" spans="1:16" s="90" customFormat="1" ht="58.5" customHeight="1">
      <c r="A70" s="199" t="s">
        <v>50</v>
      </c>
      <c r="B70" s="199" t="s">
        <v>50</v>
      </c>
      <c r="C70" s="199" t="s">
        <v>50</v>
      </c>
      <c r="D70" s="200" t="s">
        <v>230</v>
      </c>
      <c r="E70" s="201">
        <f>F70+I70</f>
        <v>200284019.81</v>
      </c>
      <c r="F70" s="201">
        <f>F14+F36+F64</f>
        <v>200284019.81</v>
      </c>
      <c r="G70" s="201">
        <f>G14+G36+G64</f>
        <v>32102768</v>
      </c>
      <c r="H70" s="201">
        <f>H14+H36+H64</f>
        <v>1106902</v>
      </c>
      <c r="I70" s="201">
        <f>I14+I36+I64</f>
        <v>0</v>
      </c>
      <c r="J70" s="201">
        <f>L70+O70</f>
        <v>9974444</v>
      </c>
      <c r="K70" s="201">
        <f>K14+K36+K64</f>
        <v>9343084</v>
      </c>
      <c r="L70" s="201">
        <f>L14+L36+L64</f>
        <v>631360</v>
      </c>
      <c r="M70" s="201">
        <f>M14+M36+M64</f>
        <v>425646</v>
      </c>
      <c r="N70" s="201">
        <f>N14+N36+N64</f>
        <v>18066</v>
      </c>
      <c r="O70" s="201">
        <f>O14+O36+O64</f>
        <v>9343084</v>
      </c>
      <c r="P70" s="201">
        <f>E70+J70</f>
        <v>210258463.81</v>
      </c>
    </row>
    <row r="71" s="109" customFormat="1" ht="30.75">
      <c r="A71" s="108"/>
    </row>
    <row r="72" s="109" customFormat="1" ht="16.5">
      <c r="A72" s="110"/>
    </row>
    <row r="73" s="111" customFormat="1" ht="25.5">
      <c r="A73" s="110"/>
    </row>
    <row r="74" spans="1:11" ht="49.5">
      <c r="A74" s="112"/>
      <c r="C74" s="33"/>
      <c r="D74" s="34"/>
      <c r="E74" s="35"/>
      <c r="F74" s="34"/>
      <c r="H74" s="34"/>
      <c r="J74" s="36"/>
      <c r="K74" s="36"/>
    </row>
    <row r="75" ht="15">
      <c r="A75" s="113"/>
    </row>
    <row r="76" ht="15">
      <c r="A76" s="113"/>
    </row>
    <row r="77" ht="15">
      <c r="A77" s="113"/>
    </row>
  </sheetData>
  <sheetProtection selectLockedCells="1" selectUnlockedCells="1"/>
  <mergeCells count="21">
    <mergeCell ref="J10:J12"/>
    <mergeCell ref="J9:O9"/>
    <mergeCell ref="L10:L12"/>
    <mergeCell ref="E10:E12"/>
    <mergeCell ref="O10:O12"/>
    <mergeCell ref="G11:G12"/>
    <mergeCell ref="H11:H12"/>
    <mergeCell ref="M11:M12"/>
    <mergeCell ref="N11:N12"/>
    <mergeCell ref="G10:H10"/>
    <mergeCell ref="I10:I12"/>
    <mergeCell ref="P9:P12"/>
    <mergeCell ref="K10:K12"/>
    <mergeCell ref="F10:F12"/>
    <mergeCell ref="M10:N10"/>
    <mergeCell ref="B7:P7"/>
    <mergeCell ref="A9:A12"/>
    <mergeCell ref="B9:B12"/>
    <mergeCell ref="C9:C12"/>
    <mergeCell ref="D9:D12"/>
    <mergeCell ref="E9:I9"/>
  </mergeCells>
  <printOptions/>
  <pageMargins left="0.25972222222222224" right="0" top="0.7701388888888889" bottom="0.22013888888888888" header="0.5118055555555555" footer="0.5118055555555555"/>
  <pageSetup horizontalDpi="300" verticalDpi="300" orientation="landscape" paperSize="9" scale="24" r:id="rId1"/>
  <rowBreaks count="1" manualBreakCount="1">
    <brk id="3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9"/>
  </sheetPr>
  <dimension ref="A1:S21"/>
  <sheetViews>
    <sheetView view="pageBreakPreview" zoomScale="50" zoomScaleNormal="55" zoomScaleSheetLayoutView="50" zoomScalePageLayoutView="0" workbookViewId="0" topLeftCell="C19">
      <selection activeCell="I4" sqref="I4"/>
    </sheetView>
  </sheetViews>
  <sheetFormatPr defaultColWidth="9.140625" defaultRowHeight="12.75"/>
  <cols>
    <col min="1" max="1" width="20.28125" style="114" customWidth="1"/>
    <col min="2" max="2" width="30.140625" style="114" customWidth="1"/>
    <col min="3" max="3" width="27.00390625" style="114" customWidth="1"/>
    <col min="4" max="4" width="40.28125" style="114" customWidth="1"/>
    <col min="5" max="5" width="33.8515625" style="114" customWidth="1"/>
    <col min="6" max="6" width="24.421875" style="114" customWidth="1"/>
    <col min="7" max="7" width="33.57421875" style="114" customWidth="1"/>
    <col min="8" max="8" width="24.57421875" style="114" customWidth="1"/>
    <col min="9" max="9" width="21.28125" style="114" customWidth="1"/>
    <col min="10" max="10" width="23.57421875" style="114" customWidth="1"/>
    <col min="11" max="11" width="20.421875" style="114" customWidth="1"/>
    <col min="12" max="12" width="17.57421875" style="114" customWidth="1"/>
    <col min="13" max="13" width="27.8515625" style="114" customWidth="1"/>
    <col min="14" max="14" width="10.8515625" style="114" customWidth="1"/>
    <col min="15" max="15" width="8.421875" style="114" customWidth="1"/>
    <col min="16" max="16" width="7.421875" style="114" customWidth="1"/>
    <col min="17" max="17" width="8.28125" style="114" customWidth="1"/>
    <col min="18" max="18" width="7.421875" style="114" customWidth="1"/>
    <col min="19" max="19" width="8.140625" style="114" customWidth="1"/>
    <col min="20" max="16384" width="9.140625" style="114" customWidth="1"/>
  </cols>
  <sheetData>
    <row r="1" ht="31.5">
      <c r="N1" s="115" t="s">
        <v>231</v>
      </c>
    </row>
    <row r="2" spans="3:14" ht="31.5">
      <c r="C2" s="116"/>
      <c r="D2" s="116"/>
      <c r="E2" s="116"/>
      <c r="F2" s="116"/>
      <c r="G2" s="116"/>
      <c r="H2" s="116"/>
      <c r="I2" s="116"/>
      <c r="J2" s="116"/>
      <c r="K2" s="116"/>
      <c r="N2" s="115" t="s">
        <v>1</v>
      </c>
    </row>
    <row r="3" spans="3:14" ht="31.5">
      <c r="C3" s="116"/>
      <c r="D3" s="116"/>
      <c r="E3" s="116"/>
      <c r="F3" s="116"/>
      <c r="G3" s="116"/>
      <c r="H3" s="116"/>
      <c r="I3" s="116"/>
      <c r="J3" s="116"/>
      <c r="K3" s="116"/>
      <c r="N3" s="115" t="s">
        <v>3</v>
      </c>
    </row>
    <row r="4" spans="3:14" ht="31.5">
      <c r="C4" s="116"/>
      <c r="D4" s="116"/>
      <c r="E4" s="116"/>
      <c r="F4" s="116"/>
      <c r="G4" s="116"/>
      <c r="H4" s="116"/>
      <c r="I4" s="116"/>
      <c r="J4" s="116"/>
      <c r="K4" s="116"/>
      <c r="N4" s="117" t="s">
        <v>281</v>
      </c>
    </row>
    <row r="5" spans="3:14" ht="12.75">
      <c r="C5" s="116"/>
      <c r="D5" s="116"/>
      <c r="E5" s="116"/>
      <c r="F5" s="116"/>
      <c r="G5" s="116"/>
      <c r="H5" s="116"/>
      <c r="I5" s="116"/>
      <c r="J5" s="116"/>
      <c r="K5" s="116"/>
      <c r="N5" s="118"/>
    </row>
    <row r="6" spans="3:11" ht="24.75" customHeight="1">
      <c r="C6" s="119"/>
      <c r="D6" s="119"/>
      <c r="E6" s="119"/>
      <c r="F6" s="119"/>
      <c r="G6" s="119"/>
      <c r="H6" s="119"/>
      <c r="I6" s="119"/>
      <c r="J6" s="119"/>
      <c r="K6" s="119"/>
    </row>
    <row r="7" spans="1:19" ht="37.5" customHeight="1">
      <c r="A7" s="212" t="s">
        <v>232</v>
      </c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</row>
    <row r="8" spans="1:19" ht="47.25" customHeight="1">
      <c r="A8" s="120"/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1" t="s">
        <v>5</v>
      </c>
    </row>
    <row r="9" spans="1:19" ht="44.25" customHeight="1">
      <c r="A9" s="213" t="s">
        <v>6</v>
      </c>
      <c r="B9" s="214" t="s">
        <v>233</v>
      </c>
      <c r="C9" s="214" t="s">
        <v>234</v>
      </c>
      <c r="D9" s="214"/>
      <c r="E9" s="214"/>
      <c r="F9" s="214"/>
      <c r="G9" s="214"/>
      <c r="H9" s="214"/>
      <c r="I9" s="214"/>
      <c r="J9" s="214"/>
      <c r="K9" s="214"/>
      <c r="L9" s="214"/>
      <c r="M9" s="214"/>
      <c r="N9" s="214" t="s">
        <v>235</v>
      </c>
      <c r="O9" s="214"/>
      <c r="P9" s="214"/>
      <c r="Q9" s="214"/>
      <c r="R9" s="214"/>
      <c r="S9" s="214"/>
    </row>
    <row r="10" spans="1:19" ht="21" customHeight="1">
      <c r="A10" s="213"/>
      <c r="B10" s="214"/>
      <c r="C10" s="215" t="s">
        <v>236</v>
      </c>
      <c r="D10" s="214" t="s">
        <v>237</v>
      </c>
      <c r="E10" s="214"/>
      <c r="F10" s="214"/>
      <c r="G10" s="214"/>
      <c r="H10" s="214"/>
      <c r="I10" s="214"/>
      <c r="J10" s="214"/>
      <c r="K10" s="214"/>
      <c r="L10" s="214"/>
      <c r="M10" s="216" t="s">
        <v>11</v>
      </c>
      <c r="N10" s="215" t="s">
        <v>236</v>
      </c>
      <c r="O10" s="214" t="s">
        <v>237</v>
      </c>
      <c r="P10" s="214"/>
      <c r="Q10" s="214"/>
      <c r="R10" s="214"/>
      <c r="S10" s="217" t="s">
        <v>11</v>
      </c>
    </row>
    <row r="11" spans="1:19" ht="66" customHeight="1">
      <c r="A11" s="213"/>
      <c r="B11" s="214"/>
      <c r="C11" s="215"/>
      <c r="D11" s="218" t="s">
        <v>238</v>
      </c>
      <c r="E11" s="218"/>
      <c r="F11" s="218"/>
      <c r="G11" s="218"/>
      <c r="H11" s="218"/>
      <c r="I11" s="218"/>
      <c r="J11" s="218"/>
      <c r="K11" s="218"/>
      <c r="L11" s="123" t="s">
        <v>239</v>
      </c>
      <c r="M11" s="216"/>
      <c r="N11" s="215"/>
      <c r="O11" s="214" t="s">
        <v>238</v>
      </c>
      <c r="P11" s="214"/>
      <c r="Q11" s="219" t="s">
        <v>240</v>
      </c>
      <c r="R11" s="219"/>
      <c r="S11" s="217"/>
    </row>
    <row r="12" spans="1:19" ht="27" customHeight="1">
      <c r="A12" s="213"/>
      <c r="B12" s="214"/>
      <c r="C12" s="214" t="s">
        <v>241</v>
      </c>
      <c r="D12" s="214"/>
      <c r="E12" s="214"/>
      <c r="F12" s="214"/>
      <c r="G12" s="214"/>
      <c r="H12" s="214"/>
      <c r="I12" s="214"/>
      <c r="J12" s="214"/>
      <c r="K12" s="214"/>
      <c r="L12" s="214"/>
      <c r="M12" s="216"/>
      <c r="N12" s="214" t="s">
        <v>242</v>
      </c>
      <c r="O12" s="214"/>
      <c r="P12" s="214"/>
      <c r="Q12" s="214"/>
      <c r="R12" s="214"/>
      <c r="S12" s="217"/>
    </row>
    <row r="13" spans="1:19" ht="408.75" customHeight="1">
      <c r="A13" s="213"/>
      <c r="B13" s="214"/>
      <c r="C13" s="214" t="s">
        <v>243</v>
      </c>
      <c r="D13" s="214" t="s">
        <v>244</v>
      </c>
      <c r="E13" s="214" t="s">
        <v>245</v>
      </c>
      <c r="F13" s="214" t="s">
        <v>246</v>
      </c>
      <c r="G13" s="214" t="s">
        <v>247</v>
      </c>
      <c r="H13" s="214" t="s">
        <v>248</v>
      </c>
      <c r="I13" s="214" t="s">
        <v>249</v>
      </c>
      <c r="J13" s="214" t="s">
        <v>250</v>
      </c>
      <c r="K13" s="214" t="s">
        <v>251</v>
      </c>
      <c r="L13" s="214" t="s">
        <v>249</v>
      </c>
      <c r="M13" s="216"/>
      <c r="N13" s="214"/>
      <c r="O13" s="214"/>
      <c r="P13" s="214"/>
      <c r="Q13" s="214"/>
      <c r="R13" s="214"/>
      <c r="S13" s="217"/>
    </row>
    <row r="14" spans="1:19" ht="409.5" customHeight="1">
      <c r="A14" s="213"/>
      <c r="B14" s="214"/>
      <c r="C14" s="214"/>
      <c r="D14" s="214"/>
      <c r="E14" s="214"/>
      <c r="F14" s="214"/>
      <c r="G14" s="214"/>
      <c r="H14" s="214"/>
      <c r="I14" s="214"/>
      <c r="J14" s="214"/>
      <c r="K14" s="214"/>
      <c r="L14" s="214"/>
      <c r="M14" s="216"/>
      <c r="N14" s="214"/>
      <c r="O14" s="214"/>
      <c r="P14" s="214"/>
      <c r="Q14" s="214"/>
      <c r="R14" s="214"/>
      <c r="S14" s="217"/>
    </row>
    <row r="15" spans="1:19" s="126" customFormat="1" ht="18.75" customHeight="1">
      <c r="A15" s="124">
        <v>1</v>
      </c>
      <c r="B15" s="125">
        <v>2</v>
      </c>
      <c r="C15" s="122">
        <v>3</v>
      </c>
      <c r="D15" s="125">
        <v>4</v>
      </c>
      <c r="E15" s="125">
        <v>5</v>
      </c>
      <c r="F15" s="125">
        <v>6</v>
      </c>
      <c r="G15" s="125">
        <v>7</v>
      </c>
      <c r="H15" s="125">
        <v>8</v>
      </c>
      <c r="I15" s="125">
        <v>9</v>
      </c>
      <c r="J15" s="125">
        <v>10</v>
      </c>
      <c r="K15" s="125">
        <v>11</v>
      </c>
      <c r="L15" s="122">
        <v>12</v>
      </c>
      <c r="M15" s="122">
        <v>13</v>
      </c>
      <c r="N15" s="122">
        <v>14</v>
      </c>
      <c r="O15" s="125">
        <v>15</v>
      </c>
      <c r="P15" s="125">
        <v>16</v>
      </c>
      <c r="Q15" s="125">
        <v>17</v>
      </c>
      <c r="R15" s="122">
        <v>18</v>
      </c>
      <c r="S15" s="122">
        <v>19</v>
      </c>
    </row>
    <row r="16" spans="1:19" ht="99" customHeight="1">
      <c r="A16" s="127" t="s">
        <v>252</v>
      </c>
      <c r="B16" s="128" t="s">
        <v>253</v>
      </c>
      <c r="C16" s="129">
        <f>36195940+154500+7042+195000+540389+1249100+105000+445000</f>
        <v>38891971</v>
      </c>
      <c r="D16" s="129">
        <v>100080200</v>
      </c>
      <c r="E16" s="129">
        <f>2046262+22100</f>
        <v>2068362</v>
      </c>
      <c r="F16" s="129">
        <v>534192</v>
      </c>
      <c r="G16" s="129">
        <f>65018300+3764299.01-21099598.2-888600+720000+1280000</f>
        <v>48794400.81</v>
      </c>
      <c r="H16" s="129">
        <f>1020400-20000</f>
        <v>1000400</v>
      </c>
      <c r="I16" s="129">
        <v>75202</v>
      </c>
      <c r="J16" s="129">
        <v>4588000</v>
      </c>
      <c r="K16" s="129">
        <v>2000000</v>
      </c>
      <c r="L16" s="130">
        <v>60060</v>
      </c>
      <c r="M16" s="130">
        <f>SUM(C16:L16)</f>
        <v>198092787.81</v>
      </c>
      <c r="N16" s="129">
        <v>0</v>
      </c>
      <c r="O16" s="129">
        <v>0</v>
      </c>
      <c r="P16" s="129">
        <v>0</v>
      </c>
      <c r="Q16" s="129">
        <v>0</v>
      </c>
      <c r="R16" s="130">
        <v>0</v>
      </c>
      <c r="S16" s="130">
        <f>SUM(N16:R16)</f>
        <v>0</v>
      </c>
    </row>
    <row r="17" spans="1:19" s="134" customFormat="1" ht="38.25" customHeight="1">
      <c r="A17" s="131" t="s">
        <v>50</v>
      </c>
      <c r="B17" s="132" t="s">
        <v>230</v>
      </c>
      <c r="C17" s="133">
        <f aca="true" t="shared" si="0" ref="C17:S17">C16</f>
        <v>38891971</v>
      </c>
      <c r="D17" s="133">
        <f t="shared" si="0"/>
        <v>100080200</v>
      </c>
      <c r="E17" s="133">
        <f t="shared" si="0"/>
        <v>2068362</v>
      </c>
      <c r="F17" s="133">
        <f t="shared" si="0"/>
        <v>534192</v>
      </c>
      <c r="G17" s="133">
        <f t="shared" si="0"/>
        <v>48794400.81</v>
      </c>
      <c r="H17" s="133">
        <f t="shared" si="0"/>
        <v>1000400</v>
      </c>
      <c r="I17" s="133">
        <f t="shared" si="0"/>
        <v>75202</v>
      </c>
      <c r="J17" s="133">
        <f t="shared" si="0"/>
        <v>4588000</v>
      </c>
      <c r="K17" s="133">
        <f t="shared" si="0"/>
        <v>2000000</v>
      </c>
      <c r="L17" s="133">
        <f t="shared" si="0"/>
        <v>60060</v>
      </c>
      <c r="M17" s="133">
        <f t="shared" si="0"/>
        <v>198092787.81</v>
      </c>
      <c r="N17" s="133">
        <f t="shared" si="0"/>
        <v>0</v>
      </c>
      <c r="O17" s="133">
        <f t="shared" si="0"/>
        <v>0</v>
      </c>
      <c r="P17" s="133">
        <f t="shared" si="0"/>
        <v>0</v>
      </c>
      <c r="Q17" s="133">
        <f t="shared" si="0"/>
        <v>0</v>
      </c>
      <c r="R17" s="133">
        <f t="shared" si="0"/>
        <v>0</v>
      </c>
      <c r="S17" s="133">
        <f t="shared" si="0"/>
        <v>0</v>
      </c>
    </row>
    <row r="20" spans="2:13" s="135" customFormat="1" ht="36.75" customHeight="1">
      <c r="B20" s="136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</row>
    <row r="21" spans="3:13" ht="19.5"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</row>
  </sheetData>
  <sheetProtection selectLockedCells="1" selectUnlockedCells="1"/>
  <mergeCells count="31">
    <mergeCell ref="Q13:Q14"/>
    <mergeCell ref="O10:R10"/>
    <mergeCell ref="F13:F14"/>
    <mergeCell ref="R13:R14"/>
    <mergeCell ref="G13:G14"/>
    <mergeCell ref="H13:H14"/>
    <mergeCell ref="I13:I14"/>
    <mergeCell ref="J13:J14"/>
    <mergeCell ref="N10:N11"/>
    <mergeCell ref="L13:L14"/>
    <mergeCell ref="K13:K14"/>
    <mergeCell ref="O11:P11"/>
    <mergeCell ref="Q11:R11"/>
    <mergeCell ref="C12:L12"/>
    <mergeCell ref="N12:R12"/>
    <mergeCell ref="C13:C14"/>
    <mergeCell ref="D13:D14"/>
    <mergeCell ref="E13:E14"/>
    <mergeCell ref="N13:N14"/>
    <mergeCell ref="O13:O14"/>
    <mergeCell ref="P13:P14"/>
    <mergeCell ref="A7:S7"/>
    <mergeCell ref="A9:A14"/>
    <mergeCell ref="B9:B14"/>
    <mergeCell ref="C9:M9"/>
    <mergeCell ref="N9:S9"/>
    <mergeCell ref="C10:C11"/>
    <mergeCell ref="D10:L10"/>
    <mergeCell ref="M10:M14"/>
    <mergeCell ref="S10:S14"/>
    <mergeCell ref="D11:K11"/>
  </mergeCells>
  <printOptions/>
  <pageMargins left="0.20972222222222223" right="0.19652777777777777" top="0.6097222222222223" bottom="0.2361111111111111" header="0.5118055555555555" footer="0.5118055555555555"/>
  <pageSetup horizontalDpi="300" verticalDpi="300" orientation="landscape" paperSize="9" scale="3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3"/>
  </sheetPr>
  <dimension ref="A1:R53"/>
  <sheetViews>
    <sheetView tabSelected="1" view="pageBreakPreview" zoomScale="40" zoomScaleNormal="55" zoomScaleSheetLayoutView="40" zoomScalePageLayoutView="0" workbookViewId="0" topLeftCell="A37">
      <selection activeCell="D5" sqref="D5"/>
    </sheetView>
  </sheetViews>
  <sheetFormatPr defaultColWidth="9.140625" defaultRowHeight="12.75"/>
  <cols>
    <col min="1" max="1" width="34.421875" style="114" customWidth="1"/>
    <col min="2" max="2" width="30.8515625" style="114" customWidth="1"/>
    <col min="3" max="3" width="34.8515625" style="114" customWidth="1"/>
    <col min="4" max="4" width="119.140625" style="114" customWidth="1"/>
    <col min="5" max="5" width="73.421875" style="114" customWidth="1"/>
    <col min="6" max="6" width="57.421875" style="114" customWidth="1"/>
    <col min="7" max="8" width="28.421875" style="114" customWidth="1"/>
    <col min="9" max="9" width="25.7109375" style="114" customWidth="1"/>
    <col min="10" max="10" width="26.140625" style="114" customWidth="1"/>
    <col min="11" max="17" width="9.140625" style="114" customWidth="1"/>
    <col min="18" max="18" width="12.00390625" style="114" customWidth="1"/>
    <col min="19" max="16384" width="9.140625" style="114" customWidth="1"/>
  </cols>
  <sheetData>
    <row r="1" spans="8:11" ht="48">
      <c r="H1" s="137" t="s">
        <v>254</v>
      </c>
      <c r="K1" s="138"/>
    </row>
    <row r="2" spans="8:11" ht="48">
      <c r="H2" s="137" t="s">
        <v>255</v>
      </c>
      <c r="K2" s="138"/>
    </row>
    <row r="3" spans="8:11" ht="48">
      <c r="H3" s="137" t="s">
        <v>3</v>
      </c>
      <c r="K3" s="118"/>
    </row>
    <row r="4" spans="8:11" ht="48">
      <c r="H4" s="139" t="s">
        <v>282</v>
      </c>
      <c r="K4" s="118"/>
    </row>
    <row r="5" ht="57" customHeight="1"/>
    <row r="6" spans="1:18" ht="49.5">
      <c r="A6" s="220" t="s">
        <v>256</v>
      </c>
      <c r="B6" s="220"/>
      <c r="C6" s="220"/>
      <c r="D6" s="220"/>
      <c r="E6" s="220"/>
      <c r="F6" s="220"/>
      <c r="G6" s="220"/>
      <c r="H6" s="220"/>
      <c r="I6" s="220"/>
      <c r="J6" s="220"/>
      <c r="K6" s="140"/>
      <c r="L6" s="140"/>
      <c r="M6" s="140"/>
      <c r="N6" s="140"/>
      <c r="O6" s="140"/>
      <c r="P6" s="140"/>
      <c r="Q6" s="140"/>
      <c r="R6" s="140"/>
    </row>
    <row r="7" ht="45" customHeight="1"/>
    <row r="8" spans="5:10" ht="42" customHeight="1">
      <c r="E8" s="141"/>
      <c r="F8" s="141"/>
      <c r="G8" s="141"/>
      <c r="H8" s="141"/>
      <c r="I8" s="141"/>
      <c r="J8" s="142" t="s">
        <v>5</v>
      </c>
    </row>
    <row r="9" spans="1:10" ht="41.25" customHeight="1">
      <c r="A9" s="221" t="s">
        <v>257</v>
      </c>
      <c r="B9" s="222" t="s">
        <v>258</v>
      </c>
      <c r="C9" s="222" t="s">
        <v>71</v>
      </c>
      <c r="D9" s="222" t="s">
        <v>72</v>
      </c>
      <c r="E9" s="221" t="s">
        <v>259</v>
      </c>
      <c r="F9" s="221" t="s">
        <v>260</v>
      </c>
      <c r="G9" s="221" t="s">
        <v>8</v>
      </c>
      <c r="H9" s="221" t="s">
        <v>9</v>
      </c>
      <c r="I9" s="221" t="s">
        <v>10</v>
      </c>
      <c r="J9" s="221"/>
    </row>
    <row r="10" spans="1:10" ht="184.5" customHeight="1">
      <c r="A10" s="221"/>
      <c r="B10" s="222"/>
      <c r="C10" s="222"/>
      <c r="D10" s="222"/>
      <c r="E10" s="221"/>
      <c r="F10" s="221"/>
      <c r="G10" s="221"/>
      <c r="H10" s="221"/>
      <c r="I10" s="143" t="s">
        <v>11</v>
      </c>
      <c r="J10" s="143" t="s">
        <v>12</v>
      </c>
    </row>
    <row r="11" spans="1:10" s="146" customFormat="1" ht="30.75" customHeight="1">
      <c r="A11" s="145">
        <v>1</v>
      </c>
      <c r="B11" s="145">
        <v>2</v>
      </c>
      <c r="C11" s="145">
        <v>3</v>
      </c>
      <c r="D11" s="145">
        <v>4</v>
      </c>
      <c r="E11" s="145">
        <v>5</v>
      </c>
      <c r="F11" s="145">
        <v>6</v>
      </c>
      <c r="G11" s="145">
        <v>7</v>
      </c>
      <c r="H11" s="145">
        <v>8</v>
      </c>
      <c r="I11" s="145">
        <v>9</v>
      </c>
      <c r="J11" s="145">
        <v>10</v>
      </c>
    </row>
    <row r="12" spans="1:10" ht="129" customHeight="1">
      <c r="A12" s="103"/>
      <c r="B12" s="103"/>
      <c r="C12" s="147"/>
      <c r="D12" s="148"/>
      <c r="E12" s="143" t="s">
        <v>261</v>
      </c>
      <c r="F12" s="143" t="s">
        <v>262</v>
      </c>
      <c r="G12" s="149">
        <f aca="true" t="shared" si="0" ref="G12:G48">H12+I12</f>
        <v>1476289</v>
      </c>
      <c r="H12" s="149">
        <f>H13+H17</f>
        <v>1476289</v>
      </c>
      <c r="I12" s="149">
        <f>I13+I17</f>
        <v>0</v>
      </c>
      <c r="J12" s="149">
        <f>J13+J17</f>
        <v>0</v>
      </c>
    </row>
    <row r="13" spans="1:10" ht="76.5" customHeight="1">
      <c r="A13" s="103" t="s">
        <v>80</v>
      </c>
      <c r="B13" s="103"/>
      <c r="C13" s="105"/>
      <c r="D13" s="104" t="s">
        <v>81</v>
      </c>
      <c r="E13" s="143"/>
      <c r="F13" s="143"/>
      <c r="G13" s="149">
        <f t="shared" si="0"/>
        <v>498921</v>
      </c>
      <c r="H13" s="149">
        <f>H14</f>
        <v>498921</v>
      </c>
      <c r="I13" s="149">
        <f>I14</f>
        <v>0</v>
      </c>
      <c r="J13" s="149">
        <f>J14</f>
        <v>0</v>
      </c>
    </row>
    <row r="14" spans="1:10" ht="69" customHeight="1">
      <c r="A14" s="105" t="s">
        <v>82</v>
      </c>
      <c r="B14" s="103"/>
      <c r="C14" s="103"/>
      <c r="D14" s="25" t="s">
        <v>81</v>
      </c>
      <c r="E14" s="143"/>
      <c r="F14" s="143"/>
      <c r="G14" s="150">
        <f t="shared" si="0"/>
        <v>498921</v>
      </c>
      <c r="H14" s="150">
        <f>H15+H16</f>
        <v>498921</v>
      </c>
      <c r="I14" s="150">
        <f>I15+I16</f>
        <v>0</v>
      </c>
      <c r="J14" s="150">
        <f>J15+J16</f>
        <v>0</v>
      </c>
    </row>
    <row r="15" spans="1:10" ht="51.75" customHeight="1">
      <c r="A15" s="91" t="s">
        <v>111</v>
      </c>
      <c r="B15" s="91" t="s">
        <v>263</v>
      </c>
      <c r="C15" s="91" t="s">
        <v>113</v>
      </c>
      <c r="D15" s="95" t="s">
        <v>114</v>
      </c>
      <c r="E15" s="143"/>
      <c r="F15" s="143"/>
      <c r="G15" s="150">
        <f t="shared" si="0"/>
        <v>130331</v>
      </c>
      <c r="H15" s="151">
        <v>130331</v>
      </c>
      <c r="I15" s="151"/>
      <c r="J15" s="151"/>
    </row>
    <row r="16" spans="1:10" ht="65.25" customHeight="1">
      <c r="A16" s="81" t="s">
        <v>115</v>
      </c>
      <c r="B16" s="81" t="s">
        <v>116</v>
      </c>
      <c r="C16" s="81" t="s">
        <v>117</v>
      </c>
      <c r="D16" s="88" t="s">
        <v>118</v>
      </c>
      <c r="E16" s="145"/>
      <c r="F16" s="143"/>
      <c r="G16" s="150">
        <f t="shared" si="0"/>
        <v>368590</v>
      </c>
      <c r="H16" s="151">
        <f>214090+154500</f>
        <v>368590</v>
      </c>
      <c r="I16" s="151"/>
      <c r="J16" s="151"/>
    </row>
    <row r="17" spans="1:10" ht="91.5" customHeight="1">
      <c r="A17" s="103" t="s">
        <v>147</v>
      </c>
      <c r="B17" s="105"/>
      <c r="C17" s="105"/>
      <c r="D17" s="104" t="s">
        <v>148</v>
      </c>
      <c r="E17" s="143"/>
      <c r="F17" s="143"/>
      <c r="G17" s="149">
        <f t="shared" si="0"/>
        <v>977368</v>
      </c>
      <c r="H17" s="152">
        <f>H18</f>
        <v>977368</v>
      </c>
      <c r="I17" s="152">
        <f>I18</f>
        <v>0</v>
      </c>
      <c r="J17" s="152">
        <f>J18</f>
        <v>0</v>
      </c>
    </row>
    <row r="18" spans="1:10" ht="67.5" customHeight="1">
      <c r="A18" s="105" t="s">
        <v>149</v>
      </c>
      <c r="B18" s="103"/>
      <c r="C18" s="103"/>
      <c r="D18" s="25" t="s">
        <v>148</v>
      </c>
      <c r="E18" s="143"/>
      <c r="F18" s="143"/>
      <c r="G18" s="150">
        <f t="shared" si="0"/>
        <v>977368</v>
      </c>
      <c r="H18" s="151">
        <f>H19+H20</f>
        <v>977368</v>
      </c>
      <c r="I18" s="151">
        <f>I19+I20</f>
        <v>0</v>
      </c>
      <c r="J18" s="151">
        <f>J19+J20</f>
        <v>0</v>
      </c>
    </row>
    <row r="19" spans="1:10" ht="156" customHeight="1">
      <c r="A19" s="97" t="s">
        <v>214</v>
      </c>
      <c r="B19" s="97" t="s">
        <v>215</v>
      </c>
      <c r="C19" s="97" t="s">
        <v>190</v>
      </c>
      <c r="D19" s="84" t="s">
        <v>216</v>
      </c>
      <c r="E19" s="145"/>
      <c r="F19" s="145"/>
      <c r="G19" s="150">
        <f t="shared" si="0"/>
        <v>574259</v>
      </c>
      <c r="H19" s="151">
        <f>533158+41101</f>
        <v>574259</v>
      </c>
      <c r="I19" s="151"/>
      <c r="J19" s="151"/>
    </row>
    <row r="20" spans="1:10" ht="68.25" customHeight="1">
      <c r="A20" s="81" t="s">
        <v>220</v>
      </c>
      <c r="B20" s="81" t="s">
        <v>116</v>
      </c>
      <c r="C20" s="81" t="s">
        <v>117</v>
      </c>
      <c r="D20" s="88" t="s">
        <v>118</v>
      </c>
      <c r="E20" s="143"/>
      <c r="F20" s="143"/>
      <c r="G20" s="150">
        <f t="shared" si="0"/>
        <v>403109</v>
      </c>
      <c r="H20" s="151">
        <f>444210-41101</f>
        <v>403109</v>
      </c>
      <c r="I20" s="151"/>
      <c r="J20" s="151"/>
    </row>
    <row r="21" spans="1:10" ht="132.75" customHeight="1">
      <c r="A21" s="103" t="s">
        <v>80</v>
      </c>
      <c r="B21" s="103"/>
      <c r="C21" s="105"/>
      <c r="D21" s="104" t="s">
        <v>81</v>
      </c>
      <c r="E21" s="143" t="s">
        <v>264</v>
      </c>
      <c r="F21" s="143" t="s">
        <v>265</v>
      </c>
      <c r="G21" s="149">
        <f t="shared" si="0"/>
        <v>32716</v>
      </c>
      <c r="H21" s="152">
        <f>H22</f>
        <v>32716</v>
      </c>
      <c r="I21" s="152">
        <f>I22</f>
        <v>0</v>
      </c>
      <c r="J21" s="152">
        <f>J22</f>
        <v>0</v>
      </c>
    </row>
    <row r="22" spans="1:10" ht="66.75" customHeight="1">
      <c r="A22" s="105" t="s">
        <v>82</v>
      </c>
      <c r="B22" s="103"/>
      <c r="C22" s="103"/>
      <c r="D22" s="25" t="s">
        <v>81</v>
      </c>
      <c r="E22" s="143"/>
      <c r="F22" s="143"/>
      <c r="G22" s="150">
        <f t="shared" si="0"/>
        <v>32716</v>
      </c>
      <c r="H22" s="151">
        <f>H23+H24</f>
        <v>32716</v>
      </c>
      <c r="I22" s="151">
        <f>I23+I24</f>
        <v>0</v>
      </c>
      <c r="J22" s="151">
        <f>J23+J24</f>
        <v>0</v>
      </c>
    </row>
    <row r="23" spans="1:10" ht="63.75" customHeight="1">
      <c r="A23" s="105" t="s">
        <v>95</v>
      </c>
      <c r="B23" s="105" t="s">
        <v>96</v>
      </c>
      <c r="C23" s="105" t="s">
        <v>97</v>
      </c>
      <c r="D23" s="25" t="s">
        <v>98</v>
      </c>
      <c r="E23" s="143"/>
      <c r="F23" s="145"/>
      <c r="G23" s="150">
        <f t="shared" si="0"/>
        <v>17716</v>
      </c>
      <c r="H23" s="150">
        <f>17000+716</f>
        <v>17716</v>
      </c>
      <c r="I23" s="150"/>
      <c r="J23" s="150"/>
    </row>
    <row r="24" spans="1:10" ht="121.5" customHeight="1">
      <c r="A24" s="105" t="s">
        <v>108</v>
      </c>
      <c r="B24" s="105" t="s">
        <v>109</v>
      </c>
      <c r="C24" s="105" t="s">
        <v>97</v>
      </c>
      <c r="D24" s="25" t="s">
        <v>110</v>
      </c>
      <c r="E24" s="143"/>
      <c r="F24" s="143"/>
      <c r="G24" s="150">
        <f t="shared" si="0"/>
        <v>15000</v>
      </c>
      <c r="H24" s="150">
        <v>15000</v>
      </c>
      <c r="I24" s="150"/>
      <c r="J24" s="150"/>
    </row>
    <row r="25" spans="1:10" ht="144" customHeight="1">
      <c r="A25" s="103" t="s">
        <v>80</v>
      </c>
      <c r="B25" s="103"/>
      <c r="C25" s="105"/>
      <c r="D25" s="104" t="s">
        <v>81</v>
      </c>
      <c r="E25" s="143" t="s">
        <v>266</v>
      </c>
      <c r="F25" s="143" t="s">
        <v>267</v>
      </c>
      <c r="G25" s="149">
        <f t="shared" si="0"/>
        <v>65000</v>
      </c>
      <c r="H25" s="153">
        <f>H26</f>
        <v>65000</v>
      </c>
      <c r="I25" s="153">
        <f>I26</f>
        <v>0</v>
      </c>
      <c r="J25" s="153">
        <f>J26</f>
        <v>0</v>
      </c>
    </row>
    <row r="26" spans="1:10" ht="73.5" customHeight="1">
      <c r="A26" s="105" t="s">
        <v>82</v>
      </c>
      <c r="B26" s="103"/>
      <c r="C26" s="103"/>
      <c r="D26" s="25" t="s">
        <v>81</v>
      </c>
      <c r="E26" s="145"/>
      <c r="F26" s="143"/>
      <c r="G26" s="150">
        <f t="shared" si="0"/>
        <v>65000</v>
      </c>
      <c r="H26" s="150">
        <f>H27+H28+H29+H30</f>
        <v>65000</v>
      </c>
      <c r="I26" s="150">
        <f>I27+I28+I29+I30</f>
        <v>0</v>
      </c>
      <c r="J26" s="150">
        <f>J27+J28+J29+J30</f>
        <v>0</v>
      </c>
    </row>
    <row r="27" spans="1:10" s="156" customFormat="1" ht="70.5" customHeight="1">
      <c r="A27" s="154" t="s">
        <v>95</v>
      </c>
      <c r="B27" s="154" t="s">
        <v>96</v>
      </c>
      <c r="C27" s="154" t="s">
        <v>97</v>
      </c>
      <c r="D27" s="27" t="s">
        <v>98</v>
      </c>
      <c r="E27" s="144"/>
      <c r="F27" s="144"/>
      <c r="G27" s="155">
        <f t="shared" si="0"/>
        <v>42755</v>
      </c>
      <c r="H27" s="155">
        <f>42000+755</f>
        <v>42755</v>
      </c>
      <c r="I27" s="155"/>
      <c r="J27" s="155"/>
    </row>
    <row r="28" spans="1:10" s="156" customFormat="1" ht="72" customHeight="1">
      <c r="A28" s="154" t="s">
        <v>99</v>
      </c>
      <c r="B28" s="154" t="s">
        <v>100</v>
      </c>
      <c r="C28" s="154" t="s">
        <v>97</v>
      </c>
      <c r="D28" s="27" t="s">
        <v>101</v>
      </c>
      <c r="E28" s="144"/>
      <c r="F28" s="144"/>
      <c r="G28" s="155">
        <f t="shared" si="0"/>
        <v>445</v>
      </c>
      <c r="H28" s="155">
        <f>750-305</f>
        <v>445</v>
      </c>
      <c r="I28" s="155"/>
      <c r="J28" s="155"/>
    </row>
    <row r="29" spans="1:10" s="158" customFormat="1" ht="58.5" customHeight="1">
      <c r="A29" s="105" t="s">
        <v>102</v>
      </c>
      <c r="B29" s="105" t="s">
        <v>103</v>
      </c>
      <c r="C29" s="105" t="s">
        <v>97</v>
      </c>
      <c r="D29" s="25" t="s">
        <v>104</v>
      </c>
      <c r="E29" s="143"/>
      <c r="F29" s="157"/>
      <c r="G29" s="150">
        <f t="shared" si="0"/>
        <v>11900</v>
      </c>
      <c r="H29" s="151">
        <v>11900</v>
      </c>
      <c r="I29" s="151"/>
      <c r="J29" s="151"/>
    </row>
    <row r="30" spans="1:10" s="156" customFormat="1" ht="98.25" customHeight="1">
      <c r="A30" s="154" t="s">
        <v>105</v>
      </c>
      <c r="B30" s="154" t="s">
        <v>106</v>
      </c>
      <c r="C30" s="154" t="s">
        <v>97</v>
      </c>
      <c r="D30" s="27" t="s">
        <v>107</v>
      </c>
      <c r="E30" s="144"/>
      <c r="F30" s="159"/>
      <c r="G30" s="155">
        <f t="shared" si="0"/>
        <v>9900</v>
      </c>
      <c r="H30" s="160">
        <f>10350-450</f>
        <v>9900</v>
      </c>
      <c r="I30" s="160"/>
      <c r="J30" s="160"/>
    </row>
    <row r="31" spans="1:10" ht="218.25" customHeight="1">
      <c r="A31" s="103" t="s">
        <v>80</v>
      </c>
      <c r="B31" s="103"/>
      <c r="C31" s="105"/>
      <c r="D31" s="104" t="s">
        <v>81</v>
      </c>
      <c r="E31" s="157" t="s">
        <v>268</v>
      </c>
      <c r="F31" s="157" t="s">
        <v>269</v>
      </c>
      <c r="G31" s="149">
        <f t="shared" si="0"/>
        <v>1300</v>
      </c>
      <c r="H31" s="152">
        <f aca="true" t="shared" si="1" ref="H31:J32">H32</f>
        <v>1300</v>
      </c>
      <c r="I31" s="152">
        <f t="shared" si="1"/>
        <v>0</v>
      </c>
      <c r="J31" s="152">
        <f t="shared" si="1"/>
        <v>0</v>
      </c>
    </row>
    <row r="32" spans="1:10" ht="69.75" customHeight="1">
      <c r="A32" s="105" t="s">
        <v>82</v>
      </c>
      <c r="B32" s="103"/>
      <c r="C32" s="103"/>
      <c r="D32" s="25" t="s">
        <v>81</v>
      </c>
      <c r="E32" s="143"/>
      <c r="F32" s="143"/>
      <c r="G32" s="150">
        <f t="shared" si="0"/>
        <v>1300</v>
      </c>
      <c r="H32" s="151">
        <f t="shared" si="1"/>
        <v>1300</v>
      </c>
      <c r="I32" s="151">
        <f t="shared" si="1"/>
        <v>0</v>
      </c>
      <c r="J32" s="151">
        <f t="shared" si="1"/>
        <v>0</v>
      </c>
    </row>
    <row r="33" spans="1:10" ht="63.75" customHeight="1">
      <c r="A33" s="105" t="s">
        <v>137</v>
      </c>
      <c r="B33" s="105" t="s">
        <v>138</v>
      </c>
      <c r="C33" s="105" t="s">
        <v>139</v>
      </c>
      <c r="D33" s="25" t="s">
        <v>140</v>
      </c>
      <c r="E33" s="161"/>
      <c r="F33" s="143"/>
      <c r="G33" s="150">
        <f t="shared" si="0"/>
        <v>1300</v>
      </c>
      <c r="H33" s="151">
        <v>1300</v>
      </c>
      <c r="I33" s="151"/>
      <c r="J33" s="151"/>
    </row>
    <row r="34" spans="1:10" ht="100.5" customHeight="1">
      <c r="A34" s="103" t="s">
        <v>80</v>
      </c>
      <c r="B34" s="103"/>
      <c r="C34" s="105"/>
      <c r="D34" s="104" t="s">
        <v>81</v>
      </c>
      <c r="E34" s="157" t="s">
        <v>270</v>
      </c>
      <c r="F34" s="157" t="s">
        <v>271</v>
      </c>
      <c r="G34" s="149">
        <f t="shared" si="0"/>
        <v>151700</v>
      </c>
      <c r="H34" s="152">
        <f aca="true" t="shared" si="2" ref="H34:J35">H35</f>
        <v>151700</v>
      </c>
      <c r="I34" s="152">
        <f t="shared" si="2"/>
        <v>0</v>
      </c>
      <c r="J34" s="152">
        <f t="shared" si="2"/>
        <v>0</v>
      </c>
    </row>
    <row r="35" spans="1:10" ht="78" customHeight="1">
      <c r="A35" s="105" t="s">
        <v>82</v>
      </c>
      <c r="B35" s="103"/>
      <c r="C35" s="103"/>
      <c r="D35" s="25" t="s">
        <v>81</v>
      </c>
      <c r="E35" s="143"/>
      <c r="F35" s="143"/>
      <c r="G35" s="150">
        <f t="shared" si="0"/>
        <v>151700</v>
      </c>
      <c r="H35" s="151">
        <f t="shared" si="2"/>
        <v>151700</v>
      </c>
      <c r="I35" s="151">
        <f t="shared" si="2"/>
        <v>0</v>
      </c>
      <c r="J35" s="151">
        <f t="shared" si="2"/>
        <v>0</v>
      </c>
    </row>
    <row r="36" spans="1:10" ht="68.25" customHeight="1">
      <c r="A36" s="81" t="s">
        <v>121</v>
      </c>
      <c r="B36" s="81" t="s">
        <v>122</v>
      </c>
      <c r="C36" s="81" t="s">
        <v>123</v>
      </c>
      <c r="D36" s="84" t="s">
        <v>124</v>
      </c>
      <c r="E36" s="143"/>
      <c r="F36" s="143"/>
      <c r="G36" s="150">
        <f t="shared" si="0"/>
        <v>151700</v>
      </c>
      <c r="H36" s="151">
        <v>151700</v>
      </c>
      <c r="I36" s="151"/>
      <c r="J36" s="151"/>
    </row>
    <row r="37" spans="1:10" ht="111.75" customHeight="1">
      <c r="A37" s="103" t="s">
        <v>80</v>
      </c>
      <c r="B37" s="103"/>
      <c r="C37" s="105"/>
      <c r="D37" s="104" t="s">
        <v>81</v>
      </c>
      <c r="E37" s="157" t="s">
        <v>272</v>
      </c>
      <c r="F37" s="162" t="s">
        <v>273</v>
      </c>
      <c r="G37" s="149">
        <f t="shared" si="0"/>
        <v>44000</v>
      </c>
      <c r="H37" s="152">
        <f aca="true" t="shared" si="3" ref="H37:J38">H38</f>
        <v>44000</v>
      </c>
      <c r="I37" s="152">
        <f t="shared" si="3"/>
        <v>0</v>
      </c>
      <c r="J37" s="152">
        <f t="shared" si="3"/>
        <v>0</v>
      </c>
    </row>
    <row r="38" spans="1:10" ht="69.75" customHeight="1">
      <c r="A38" s="105" t="s">
        <v>82</v>
      </c>
      <c r="B38" s="103"/>
      <c r="C38" s="103"/>
      <c r="D38" s="25" t="s">
        <v>81</v>
      </c>
      <c r="E38" s="143"/>
      <c r="F38" s="163"/>
      <c r="G38" s="150">
        <f t="shared" si="0"/>
        <v>44000</v>
      </c>
      <c r="H38" s="151">
        <f t="shared" si="3"/>
        <v>44000</v>
      </c>
      <c r="I38" s="151">
        <f t="shared" si="3"/>
        <v>0</v>
      </c>
      <c r="J38" s="151">
        <f t="shared" si="3"/>
        <v>0</v>
      </c>
    </row>
    <row r="39" spans="1:10" ht="108.75" customHeight="1">
      <c r="A39" s="105" t="s">
        <v>127</v>
      </c>
      <c r="B39" s="105" t="s">
        <v>128</v>
      </c>
      <c r="C39" s="105" t="s">
        <v>129</v>
      </c>
      <c r="D39" s="25" t="s">
        <v>130</v>
      </c>
      <c r="E39" s="143"/>
      <c r="F39" s="163"/>
      <c r="G39" s="150">
        <f t="shared" si="0"/>
        <v>44000</v>
      </c>
      <c r="H39" s="151">
        <v>44000</v>
      </c>
      <c r="I39" s="151"/>
      <c r="J39" s="151"/>
    </row>
    <row r="40" spans="1:10" ht="123" customHeight="1">
      <c r="A40" s="105"/>
      <c r="B40" s="105"/>
      <c r="C40" s="105"/>
      <c r="E40" s="162" t="s">
        <v>274</v>
      </c>
      <c r="F40" s="157" t="s">
        <v>275</v>
      </c>
      <c r="G40" s="149">
        <f t="shared" si="0"/>
        <v>497695</v>
      </c>
      <c r="H40" s="152">
        <f aca="true" t="shared" si="4" ref="H40:J42">H41</f>
        <v>75202</v>
      </c>
      <c r="I40" s="152">
        <f t="shared" si="4"/>
        <v>422493</v>
      </c>
      <c r="J40" s="152">
        <f t="shared" si="4"/>
        <v>422493</v>
      </c>
    </row>
    <row r="41" spans="1:10" ht="96.75" customHeight="1">
      <c r="A41" s="103" t="s">
        <v>147</v>
      </c>
      <c r="B41" s="105"/>
      <c r="C41" s="105"/>
      <c r="D41" s="164" t="s">
        <v>148</v>
      </c>
      <c r="E41" s="162"/>
      <c r="F41" s="165"/>
      <c r="G41" s="149">
        <f t="shared" si="0"/>
        <v>497695</v>
      </c>
      <c r="H41" s="152">
        <f t="shared" si="4"/>
        <v>75202</v>
      </c>
      <c r="I41" s="152">
        <f t="shared" si="4"/>
        <v>422493</v>
      </c>
      <c r="J41" s="152">
        <f t="shared" si="4"/>
        <v>422493</v>
      </c>
    </row>
    <row r="42" spans="1:10" ht="83.25" customHeight="1">
      <c r="A42" s="105" t="s">
        <v>149</v>
      </c>
      <c r="B42" s="103"/>
      <c r="C42" s="103"/>
      <c r="D42" s="166" t="s">
        <v>148</v>
      </c>
      <c r="E42" s="162"/>
      <c r="F42" s="167"/>
      <c r="G42" s="150">
        <f t="shared" si="0"/>
        <v>497695</v>
      </c>
      <c r="H42" s="151">
        <f t="shared" si="4"/>
        <v>75202</v>
      </c>
      <c r="I42" s="151">
        <f t="shared" si="4"/>
        <v>422493</v>
      </c>
      <c r="J42" s="151">
        <f t="shared" si="4"/>
        <v>422493</v>
      </c>
    </row>
    <row r="43" spans="1:10" ht="124.5" customHeight="1">
      <c r="A43" s="168" t="s">
        <v>210</v>
      </c>
      <c r="B43" s="168" t="s">
        <v>211</v>
      </c>
      <c r="C43" s="168" t="s">
        <v>212</v>
      </c>
      <c r="D43" s="169" t="s">
        <v>213</v>
      </c>
      <c r="E43" s="170"/>
      <c r="F43" s="171"/>
      <c r="G43" s="172">
        <f t="shared" si="0"/>
        <v>497695</v>
      </c>
      <c r="H43" s="173">
        <v>75202</v>
      </c>
      <c r="I43" s="173">
        <f>60060+14900+46303+250000+51230</f>
        <v>422493</v>
      </c>
      <c r="J43" s="173">
        <f>60060+14900+46303+250000+51230</f>
        <v>422493</v>
      </c>
    </row>
    <row r="44" spans="1:10" ht="151.5" customHeight="1">
      <c r="A44" s="97"/>
      <c r="B44" s="97"/>
      <c r="C44" s="97"/>
      <c r="D44" s="99"/>
      <c r="E44" s="174" t="s">
        <v>276</v>
      </c>
      <c r="F44" s="175" t="s">
        <v>277</v>
      </c>
      <c r="G44" s="149">
        <f t="shared" si="0"/>
        <v>11003544</v>
      </c>
      <c r="H44" s="152">
        <f>H45+H49</f>
        <v>3373880</v>
      </c>
      <c r="I44" s="152">
        <f>I45+I49</f>
        <v>7629664</v>
      </c>
      <c r="J44" s="152">
        <f>J45+J49</f>
        <v>7606410</v>
      </c>
    </row>
    <row r="45" spans="1:10" ht="74.25" customHeight="1">
      <c r="A45" s="176" t="s">
        <v>80</v>
      </c>
      <c r="B45" s="176"/>
      <c r="C45" s="176"/>
      <c r="D45" s="177" t="s">
        <v>81</v>
      </c>
      <c r="E45" s="174"/>
      <c r="F45" s="175"/>
      <c r="G45" s="178">
        <f t="shared" si="0"/>
        <v>6810574</v>
      </c>
      <c r="H45" s="179">
        <f>H46</f>
        <v>1264164</v>
      </c>
      <c r="I45" s="179">
        <f>I46</f>
        <v>5546410</v>
      </c>
      <c r="J45" s="179">
        <f>J46</f>
        <v>5546410</v>
      </c>
    </row>
    <row r="46" spans="1:10" ht="66" customHeight="1">
      <c r="A46" s="105" t="s">
        <v>82</v>
      </c>
      <c r="B46" s="103"/>
      <c r="C46" s="103"/>
      <c r="D46" s="25" t="s">
        <v>81</v>
      </c>
      <c r="E46" s="180"/>
      <c r="F46" s="181"/>
      <c r="G46" s="150">
        <f t="shared" si="0"/>
        <v>6810574</v>
      </c>
      <c r="H46" s="151">
        <f>H47</f>
        <v>1264164</v>
      </c>
      <c r="I46" s="151">
        <f>I47+I48</f>
        <v>5546410</v>
      </c>
      <c r="J46" s="151">
        <f>J47+J48</f>
        <v>5546410</v>
      </c>
    </row>
    <row r="47" spans="1:10" s="156" customFormat="1" ht="57" customHeight="1">
      <c r="A47" s="87" t="s">
        <v>133</v>
      </c>
      <c r="B47" s="87" t="s">
        <v>134</v>
      </c>
      <c r="C47" s="87" t="s">
        <v>135</v>
      </c>
      <c r="D47" s="88" t="s">
        <v>136</v>
      </c>
      <c r="E47" s="182"/>
      <c r="F47" s="183"/>
      <c r="G47" s="155">
        <f t="shared" si="0"/>
        <v>2222574</v>
      </c>
      <c r="H47" s="160">
        <f>2514990-2478469+5400+4800+195000+195000+610300-16709+195000+78852-40000</f>
        <v>1264164</v>
      </c>
      <c r="I47" s="160">
        <f>358410+60000+500000+40000</f>
        <v>958410</v>
      </c>
      <c r="J47" s="160">
        <f>358410+60000+500000+40000</f>
        <v>958410</v>
      </c>
    </row>
    <row r="48" spans="1:10" s="156" customFormat="1" ht="106.5" customHeight="1">
      <c r="A48" s="87" t="s">
        <v>143</v>
      </c>
      <c r="B48" s="87" t="s">
        <v>144</v>
      </c>
      <c r="C48" s="87" t="s">
        <v>145</v>
      </c>
      <c r="D48" s="184" t="s">
        <v>146</v>
      </c>
      <c r="E48" s="182"/>
      <c r="F48" s="183"/>
      <c r="G48" s="155">
        <f t="shared" si="0"/>
        <v>4588000</v>
      </c>
      <c r="H48" s="160">
        <v>0</v>
      </c>
      <c r="I48" s="160">
        <f>4588000</f>
        <v>4588000</v>
      </c>
      <c r="J48" s="160">
        <f>4588000</f>
        <v>4588000</v>
      </c>
    </row>
    <row r="49" spans="1:10" ht="99" customHeight="1">
      <c r="A49" s="103" t="s">
        <v>225</v>
      </c>
      <c r="B49" s="103"/>
      <c r="C49" s="103"/>
      <c r="D49" s="104" t="s">
        <v>226</v>
      </c>
      <c r="E49" s="185"/>
      <c r="F49" s="186"/>
      <c r="G49" s="187">
        <f>G50</f>
        <v>4192970</v>
      </c>
      <c r="H49" s="187">
        <f>H50</f>
        <v>2109716</v>
      </c>
      <c r="I49" s="187">
        <f>I50</f>
        <v>2083254</v>
      </c>
      <c r="J49" s="187">
        <f>J50</f>
        <v>2060000</v>
      </c>
    </row>
    <row r="50" spans="1:10" ht="65.25" customHeight="1">
      <c r="A50" s="105" t="s">
        <v>227</v>
      </c>
      <c r="B50" s="103"/>
      <c r="C50" s="103"/>
      <c r="D50" s="25" t="s">
        <v>226</v>
      </c>
      <c r="E50" s="188"/>
      <c r="F50" s="181"/>
      <c r="G50" s="189">
        <f>G51+G52</f>
        <v>4192970</v>
      </c>
      <c r="H50" s="189">
        <f>H51+H52</f>
        <v>2109716</v>
      </c>
      <c r="I50" s="189">
        <f>I51+I52</f>
        <v>2083254</v>
      </c>
      <c r="J50" s="189">
        <f>J51+J52</f>
        <v>2060000</v>
      </c>
    </row>
    <row r="51" spans="1:10" ht="55.5" customHeight="1">
      <c r="A51" s="81" t="s">
        <v>228</v>
      </c>
      <c r="B51" s="81" t="s">
        <v>134</v>
      </c>
      <c r="C51" s="81" t="s">
        <v>135</v>
      </c>
      <c r="D51" s="84" t="s">
        <v>136</v>
      </c>
      <c r="E51" s="190"/>
      <c r="F51" s="191"/>
      <c r="G51" s="150">
        <f>H51+I51</f>
        <v>2132970</v>
      </c>
      <c r="H51" s="151">
        <f>2514990-36521-211810-60000-4800+16709-30000-78852</f>
        <v>2109716</v>
      </c>
      <c r="I51" s="151">
        <v>23254</v>
      </c>
      <c r="J51" s="151">
        <v>0</v>
      </c>
    </row>
    <row r="52" spans="1:10" ht="96.75" customHeight="1">
      <c r="A52" s="81" t="s">
        <v>229</v>
      </c>
      <c r="B52" s="81" t="s">
        <v>144</v>
      </c>
      <c r="C52" s="107" t="s">
        <v>145</v>
      </c>
      <c r="D52" s="184" t="s">
        <v>146</v>
      </c>
      <c r="E52" s="161"/>
      <c r="F52" s="181"/>
      <c r="G52" s="150">
        <f>H52+I52</f>
        <v>2060000</v>
      </c>
      <c r="H52" s="151">
        <v>0</v>
      </c>
      <c r="I52" s="151">
        <v>2060000</v>
      </c>
      <c r="J52" s="151">
        <v>2060000</v>
      </c>
    </row>
    <row r="53" spans="1:10" s="192" customFormat="1" ht="63.75" customHeight="1">
      <c r="A53" s="143" t="s">
        <v>50</v>
      </c>
      <c r="B53" s="143" t="s">
        <v>50</v>
      </c>
      <c r="C53" s="143" t="s">
        <v>50</v>
      </c>
      <c r="D53" s="143" t="s">
        <v>230</v>
      </c>
      <c r="E53" s="175" t="s">
        <v>50</v>
      </c>
      <c r="F53" s="175" t="s">
        <v>50</v>
      </c>
      <c r="G53" s="149">
        <f>H53+I53</f>
        <v>13272244</v>
      </c>
      <c r="H53" s="152">
        <f>H12+H21+H25+H31+H34+H37+H40+H44</f>
        <v>5220087</v>
      </c>
      <c r="I53" s="152">
        <f>I12+I21+I25+I31+I34+I37+I40+I44</f>
        <v>8052157</v>
      </c>
      <c r="J53" s="152">
        <f>J12+J21+J25+J31+J34+J37+J40+J44</f>
        <v>8028903</v>
      </c>
    </row>
  </sheetData>
  <sheetProtection selectLockedCells="1" selectUnlockedCells="1"/>
  <mergeCells count="10">
    <mergeCell ref="A6:J6"/>
    <mergeCell ref="A9:A10"/>
    <mergeCell ref="B9:B10"/>
    <mergeCell ref="C9:C10"/>
    <mergeCell ref="D9:D10"/>
    <mergeCell ref="E9:E10"/>
    <mergeCell ref="F9:F10"/>
    <mergeCell ref="G9:G10"/>
    <mergeCell ref="H9:H10"/>
    <mergeCell ref="I9:J9"/>
  </mergeCells>
  <printOptions/>
  <pageMargins left="0.1798611111111111" right="0.19652777777777777" top="0.7201388888888889" bottom="0.4" header="0.5118055555555555" footer="0.5118055555555555"/>
  <pageSetup horizontalDpi="300" verticalDpi="300" orientation="landscape" paperSize="9" scale="30" r:id="rId1"/>
  <rowBreaks count="2" manualBreakCount="2">
    <brk id="23" max="255" man="1"/>
    <brk id="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 Windows</cp:lastModifiedBy>
  <cp:lastPrinted>2019-11-05T10:20:52Z</cp:lastPrinted>
  <dcterms:created xsi:type="dcterms:W3CDTF">2019-11-05T10:23:32Z</dcterms:created>
  <dcterms:modified xsi:type="dcterms:W3CDTF">2019-11-05T10:23:32Z</dcterms:modified>
  <cp:category/>
  <cp:version/>
  <cp:contentType/>
  <cp:contentStatus/>
</cp:coreProperties>
</file>