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activeTab="4"/>
  </bookViews>
  <sheets>
    <sheet name="Дод1" sheetId="1" r:id="rId1"/>
    <sheet name="Дод 2" sheetId="2" r:id="rId2"/>
    <sheet name="Дод 3" sheetId="3" r:id="rId3"/>
    <sheet name="Дод 4" sheetId="4" r:id="rId4"/>
    <sheet name="Дод 5" sheetId="5" r:id="rId5"/>
  </sheets>
  <externalReferences>
    <externalReference r:id="rId8"/>
  </externalReferences>
  <definedNames>
    <definedName name="Excel_BuiltIn_Print_Area_1" localSheetId="2">#REF!</definedName>
    <definedName name="Excel_BuiltIn_Print_Area_1" localSheetId="0">#REF!</definedName>
    <definedName name="Excel_BuiltIn_Print_Area_1">#REF!</definedName>
    <definedName name="Excel_BuiltIn_Print_Area_2" localSheetId="2">#REF!</definedName>
    <definedName name="Excel_BuiltIn_Print_Area_2" localSheetId="0">#REF!</definedName>
    <definedName name="Excel_BuiltIn_Print_Area_2">#REF!</definedName>
    <definedName name="Excel_BuiltIn_Print_Area_3" localSheetId="2">#REF!</definedName>
    <definedName name="Excel_BuiltIn_Print_Area_3" localSheetId="0">#REF!</definedName>
    <definedName name="Excel_BuiltIn_Print_Area_3">#REF!</definedName>
    <definedName name="Excel_BuiltIn_Print_Area_4" localSheetId="2">#REF!</definedName>
    <definedName name="Excel_BuiltIn_Print_Area_4" localSheetId="0">#REF!</definedName>
    <definedName name="Excel_BuiltIn_Print_Area_4">#REF!</definedName>
    <definedName name="Excel_BuiltIn_Print_Titles_1" localSheetId="2">#REF!</definedName>
    <definedName name="Excel_BuiltIn_Print_Titles_1" localSheetId="0">#REF!</definedName>
    <definedName name="Excel_BuiltIn_Print_Titles_1">#REF!</definedName>
    <definedName name="Excel_BuiltIn_Print_Titles_1_1" localSheetId="1">'[1]Дод 4'!#REF!</definedName>
    <definedName name="Excel_BuiltIn_Print_Titles_1_1">'Дод 4'!#REF!</definedName>
    <definedName name="Excel_BuiltIn_Print_Titles_2">#REF!</definedName>
    <definedName name="Excel_BuiltIn_Print_Titles_3" localSheetId="1">#REF!</definedName>
    <definedName name="Excel_BuiltIn_Print_Titles_3" localSheetId="2">#REF!</definedName>
    <definedName name="Excel_BuiltIn_Print_Titles_3" localSheetId="0">#REF!</definedName>
    <definedName name="Excel_BuiltIn_Print_Titles_3">#REF!</definedName>
    <definedName name="ghj">#REF!</definedName>
    <definedName name="kjhh">#REF!</definedName>
    <definedName name="t">#REF!</definedName>
    <definedName name="y">#REF!</definedName>
    <definedName name="Д">#REF!</definedName>
    <definedName name="_xlnm.Print_Titles" localSheetId="2">'Дод 3'!$8:$12</definedName>
    <definedName name="_xlnm.Print_Titles" localSheetId="4">'Дод 5'!$9:$11</definedName>
    <definedName name="_xlnm.Print_Titles" localSheetId="0">'Дод1'!$11:$11</definedName>
    <definedName name="_xlnm.Print_Area" localSheetId="1">'Дод 2'!$A$1:$F$22</definedName>
    <definedName name="_xlnm.Print_Area" localSheetId="2">'Дод 3'!$A$1:$P$78</definedName>
    <definedName name="_xlnm.Print_Area" localSheetId="3">'Дод 4'!$A$1:$I$34</definedName>
    <definedName name="_xlnm.Print_Area" localSheetId="4">'Дод 5'!$A$1:$H$64</definedName>
    <definedName name="_xlnm.Print_Area" localSheetId="0">'Дод1'!$A$1:$F$54</definedName>
  </definedNames>
  <calcPr fullCalcOnLoad="1"/>
</workbook>
</file>

<file path=xl/sharedStrings.xml><?xml version="1.0" encoding="utf-8"?>
<sst xmlns="http://schemas.openxmlformats.org/spreadsheetml/2006/main" count="600" uniqueCount="293">
  <si>
    <t xml:space="preserve">Додаток  1     </t>
  </si>
  <si>
    <t>до рішення районної</t>
  </si>
  <si>
    <t xml:space="preserve">     </t>
  </si>
  <si>
    <t xml:space="preserve">у місті ради </t>
  </si>
  <si>
    <t>грн.</t>
  </si>
  <si>
    <t>Код</t>
  </si>
  <si>
    <t>Найменування доходів згідно з класифікацією доходів бюджету</t>
  </si>
  <si>
    <t>Всього</t>
  </si>
  <si>
    <t>Загальний фонд</t>
  </si>
  <si>
    <t>Спеціальний фонд</t>
  </si>
  <si>
    <t>у т.ч. бюджет розвитку</t>
  </si>
  <si>
    <t>3=4+5</t>
  </si>
  <si>
    <t>Податкові надходження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</si>
  <si>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</si>
  <si>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</si>
  <si>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</si>
  <si>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</si>
  <si>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</si>
  <si>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</si>
  <si>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</si>
  <si>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</si>
  <si>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</si>
  <si>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</si>
  <si>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Збір за місця для паркування транспортних засобів</t>
  </si>
  <si>
    <t>Збір за місця для паркування транспортних засобів, сплачений юридичними особами</t>
  </si>
  <si>
    <t>Туристичний збір</t>
  </si>
  <si>
    <t>Туристичний збір, сплачений юридичними особами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</si>
  <si>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</si>
  <si>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</si>
  <si>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</si>
  <si>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</si>
  <si>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</si>
  <si>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</si>
  <si>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</si>
  <si>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</si>
  <si>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</si>
  <si>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</si>
  <si>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</t>
  </si>
  <si>
    <t>Разом доходів</t>
  </si>
  <si>
    <t>Офіційні трансферти</t>
  </si>
  <si>
    <t>Від органів державного управління</t>
  </si>
  <si>
    <t>Всього доходів</t>
  </si>
  <si>
    <t xml:space="preserve"> </t>
  </si>
  <si>
    <t>Найменування згідно з класифікацією фінансування бюджету</t>
  </si>
  <si>
    <t>в т.ч. бюджет розвитку</t>
  </si>
  <si>
    <t>Загальне фінансування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</si>
  <si>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</si>
  <si>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</si>
  <si>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</si>
  <si>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 xml:space="preserve">На кінець періоду </t>
  </si>
  <si>
    <t>Фінансування за активними операціями</t>
  </si>
  <si>
    <t>Зміни обсягів бюджетних коштів</t>
  </si>
  <si>
    <t>На кінець періоду</t>
  </si>
  <si>
    <t xml:space="preserve">Код програмної класифікації видатків та кредитування місцевих бюджетів </t>
  </si>
  <si>
    <t xml:space="preserve">Код ТПКВКМБ                </t>
  </si>
  <si>
    <t>Код ФКВКБ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</si>
  <si>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</t>
  </si>
  <si>
    <t>Разом</t>
  </si>
  <si>
    <t>видатки споживання</t>
  </si>
  <si>
    <t>з них</t>
  </si>
  <si>
    <t>видатки розвитку</t>
  </si>
  <si>
    <t xml:space="preserve">видатки споживання
</t>
  </si>
  <si>
    <t xml:space="preserve">
оплата
праці
</t>
  </si>
  <si>
    <t>комунальні послуги та енергоносії</t>
  </si>
  <si>
    <t>бюджет розвитку</t>
  </si>
  <si>
    <t>16=5+10</t>
  </si>
  <si>
    <t>Виконавчий комітет Центрально-Міської районної у місті ради</t>
  </si>
  <si>
    <t>0111</t>
  </si>
  <si>
    <t>3110</t>
  </si>
  <si>
    <t>Заклади і заходи з питань дітей та їх соціального захисту</t>
  </si>
  <si>
    <t>3112</t>
  </si>
  <si>
    <t>1040</t>
  </si>
  <si>
    <t>Заходи державної політики з питань дітей та їх соціального захисту</t>
  </si>
  <si>
    <t>3130</t>
  </si>
  <si>
    <t>Здійснення соціальної роботи з вразливими категоріями населення</t>
  </si>
  <si>
    <t>Заходи державної політики із забезпечення рівних прав та можливостей жінок та чоловіків</t>
  </si>
  <si>
    <t>Заходи державної політики з питань сім'ї</t>
  </si>
  <si>
    <t>Реалізація державної політики у молодіжній сфери</t>
  </si>
  <si>
    <t>Здійснення заходів та реалізація проектів на виконання Державної цільової соціальної програми "Молодь України"</t>
  </si>
  <si>
    <t>1090</t>
  </si>
  <si>
    <t>0829</t>
  </si>
  <si>
    <t>5060</t>
  </si>
  <si>
    <t>Інші заходи з розвитку фізичної культури та спорту</t>
  </si>
  <si>
    <t>5061</t>
  </si>
  <si>
    <t>0810</t>
  </si>
  <si>
    <t>0620</t>
  </si>
  <si>
    <t xml:space="preserve">Управління праці та соціального захисту населення виконкому Центрально-Міської районної у місті ради </t>
  </si>
  <si>
    <t>3040</t>
  </si>
  <si>
    <t>3041</t>
  </si>
  <si>
    <t>Надання допомоги у зв’язку з вагітністю і пологами</t>
  </si>
  <si>
    <t>3042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</si>
  <si>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</si>
  <si>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</si>
  <si>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</si>
  <si>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</si>
  <si>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</si>
  <si>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</si>
  <si>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</si>
  <si>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</si>
  <si>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</si>
  <si>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допомоги при усиновленні дитини</t>
  </si>
  <si>
    <t>Надання державної соціальної допомоги малозабезпеченим сім’ям</t>
  </si>
  <si>
    <t>1010</t>
  </si>
  <si>
    <t>3080</t>
  </si>
  <si>
    <t>1050</t>
  </si>
  <si>
    <t>Організація та проведення громадських робіт</t>
  </si>
  <si>
    <t>3100</t>
  </si>
  <si>
    <t>3104</t>
  </si>
  <si>
    <t>1020</t>
  </si>
  <si>
    <t xml:space="preserve">Забезпечення соціальними послугами за місцем проживання  громадян, які  не здатні до самообслуговування у зв’язку з похилим віком, хворобою, інвалідністю </t>
  </si>
  <si>
    <t>Всього видатків</t>
  </si>
  <si>
    <t>Додаток 3</t>
  </si>
  <si>
    <t xml:space="preserve">до рішення районної </t>
  </si>
  <si>
    <t>Код програмної класифікації видатків та кредитування місцевих бюджетів</t>
  </si>
  <si>
    <t xml:space="preserve">Код ТПКВКМБ      </t>
  </si>
  <si>
    <t>Назва об'єктів відповідно до проектно-кошторисної документації тощо</t>
  </si>
  <si>
    <t>Загальний обсяг фінансування будівництва</t>
  </si>
  <si>
    <t>Відсоток завершеності будівництва об'єктів на майбутні роки</t>
  </si>
  <si>
    <t>Всього видатків на завершення будівництва об'єктів на майбутні роки</t>
  </si>
  <si>
    <t>Разом видатків на поточний рік</t>
  </si>
  <si>
    <t>Капітальні видатки</t>
  </si>
  <si>
    <t>Найменування місцевої програми</t>
  </si>
  <si>
    <t>Разом загальний та спеціальний фонди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</si>
  <si>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</si>
  <si>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Додаток 2</t>
  </si>
  <si>
    <t>1030</t>
  </si>
  <si>
    <t>Додаток 5</t>
  </si>
  <si>
    <t>Додаток 4</t>
  </si>
  <si>
    <t xml:space="preserve">Доходи районного у місті бюджету на 2018 рік </t>
  </si>
  <si>
    <t>Фінансування районного у місті бюджету на 2018 рік</t>
  </si>
  <si>
    <t xml:space="preserve">Розподіл видатків районного у місті бюджету на 2018 рік </t>
  </si>
  <si>
    <t>0200000</t>
  </si>
  <si>
    <t>0210000</t>
  </si>
  <si>
    <t>Керівництво і управління у відповідній сфері у містах (місті Києві), селищах, селах, об'єднаних територіальних громадах</t>
  </si>
  <si>
    <t>0210160</t>
  </si>
  <si>
    <t>0160</t>
  </si>
  <si>
    <t>0210170</t>
  </si>
  <si>
    <t>0170</t>
  </si>
  <si>
    <t>0131</t>
  </si>
  <si>
    <t>0800000</t>
  </si>
  <si>
    <t>0810000</t>
  </si>
  <si>
    <t>0813040</t>
  </si>
  <si>
    <t>0813041</t>
  </si>
  <si>
    <t>0813042</t>
  </si>
  <si>
    <t>0813043</t>
  </si>
  <si>
    <t>0813044</t>
  </si>
  <si>
    <t>0813045</t>
  </si>
  <si>
    <t>0813046</t>
  </si>
  <si>
    <t>0813047</t>
  </si>
  <si>
    <t>0813080</t>
  </si>
  <si>
    <t>0813100</t>
  </si>
  <si>
    <t>0813104</t>
  </si>
  <si>
    <t>0213110</t>
  </si>
  <si>
    <t>0213112</t>
  </si>
  <si>
    <t>0213120</t>
  </si>
  <si>
    <t>3120</t>
  </si>
  <si>
    <t>0213122</t>
  </si>
  <si>
    <t>3122</t>
  </si>
  <si>
    <t>0213123</t>
  </si>
  <si>
    <t>3123</t>
  </si>
  <si>
    <t>0213130</t>
  </si>
  <si>
    <t>0213131</t>
  </si>
  <si>
    <t>3131</t>
  </si>
  <si>
    <t>0813160</t>
  </si>
  <si>
    <t>3160</t>
  </si>
  <si>
    <t>3230</t>
  </si>
  <si>
    <t>Інші заклади та заходи</t>
  </si>
  <si>
    <t>0813230</t>
  </si>
  <si>
    <t>0214080</t>
  </si>
  <si>
    <t>4080</t>
  </si>
  <si>
    <t>Інші заклади та заходи в галузі культури і мистецтва</t>
  </si>
  <si>
    <t>0215060</t>
  </si>
  <si>
    <t>0215061</t>
  </si>
  <si>
    <t xml:space="preserve">Перелік об'єктів, видатки на які у 2018 році будуть проводитися за рахунок коштів бюджету розвитку </t>
  </si>
  <si>
    <t>Перелік  місцевих програм, які фінансуватимуться за рахунок коштів районного у місті бюджету у 2018 році</t>
  </si>
  <si>
    <t>0216090</t>
  </si>
  <si>
    <t>0640</t>
  </si>
  <si>
    <t>Інша діяльність у сфері житлово-комунального господарства</t>
  </si>
  <si>
    <t>6090</t>
  </si>
  <si>
    <t>0813010</t>
  </si>
  <si>
    <t>3010</t>
  </si>
  <si>
    <t>Надання субсидій населенню для відшкодування витрат на оплату житлово-комунальних послуг</t>
  </si>
  <si>
    <t>0813012</t>
  </si>
  <si>
    <t>3012</t>
  </si>
  <si>
    <t>1060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</si>
  <si>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</si>
  <si>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0813020</t>
  </si>
  <si>
    <t>3020</t>
  </si>
  <si>
    <t>0813021</t>
  </si>
  <si>
    <t>0813022</t>
  </si>
  <si>
    <t>3021</t>
  </si>
  <si>
    <t>3022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</si>
  <si>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</si>
  <si>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</si>
  <si>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</si>
  <si>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1400000</t>
  </si>
  <si>
    <t>1410000</t>
  </si>
  <si>
    <t xml:space="preserve">Відділ з питань благоустрою та житлової політики виконкому Центрально-Міської районної у місті ради </t>
  </si>
  <si>
    <t>Інші дотації з місцевого бюджету</t>
  </si>
  <si>
    <t>Субвенції з місцевих бюджетів іншим місцевим бюджетам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</si>
  <si>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</si>
  <si>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Інші субвенції з місцевого бюджету, у тому числі: 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</si>
  <si>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</si>
  <si>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районним у місті бюджетам на фінансування проектів-переможців конкурсу місцевого розвитку "Громадський бюджет" у 2018 році</t>
  </si>
  <si>
    <t>Підвищення кваліфікації депутатів місцевих рад та посадових осіб місцевого самоврядування</t>
  </si>
  <si>
    <t>Надання державної соціальної допомоги особам з інвалідністю з дитинства та дітям з інвалідністю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</si>
  <si>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</si>
  <si>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3210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</si>
  <si>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</si>
  <si>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0213210</t>
  </si>
  <si>
    <t>0813240</t>
  </si>
  <si>
    <t>3240</t>
  </si>
  <si>
    <t>0813242</t>
  </si>
  <si>
    <t>3242</t>
  </si>
  <si>
    <t>Інші заходи у сфері соціального захисту і соціального забезпечення</t>
  </si>
  <si>
    <t>0213240</t>
  </si>
  <si>
    <t>0213242</t>
  </si>
  <si>
    <t>0214082</t>
  </si>
  <si>
    <t>4082</t>
  </si>
  <si>
    <t>Інші заходи в галузі культури і мистецтва</t>
  </si>
  <si>
    <t>Дотації</t>
  </si>
  <si>
    <t>0213200</t>
  </si>
  <si>
    <t>3200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</si>
  <si>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</si>
  <si>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1416030</t>
  </si>
  <si>
    <t>6030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</si>
  <si>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</si>
  <si>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</si>
  <si>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Надання допомоги сім'ям з дітьми, малозабезпеченим  сім’ям, тимчасової допомоги дітям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</si>
  <si>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</si>
  <si>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0813081</t>
  </si>
  <si>
    <t>0813082</t>
  </si>
  <si>
    <t>0813083</t>
  </si>
  <si>
    <t>0813085</t>
  </si>
  <si>
    <t>3081</t>
  </si>
  <si>
    <t>3082</t>
  </si>
  <si>
    <t>3083</t>
  </si>
  <si>
    <t>3085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</si>
  <si>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</si>
  <si>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</si>
  <si>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</si>
  <si>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</si>
  <si>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 xml:space="preserve">Відділ з питань благоустрою та житлової політики виконавчого комітету Центрально-Міської районної у місті ради 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</si>
  <si>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</si>
  <si>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</si>
  <si>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</si>
  <si>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Кошти, що передаються із загального фонду бюджету до бюджету розвитку (спеціального фонду)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</si>
  <si>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</si>
  <si>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</si>
  <si>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</si>
  <si>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Організація благоустрою населених пунктів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</si>
  <si>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</si>
  <si>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r>
      <t xml:space="preserve">Програма соціального захисту мешканців Центрально-Міського району на 2017-2019 роки </t>
    </r>
    <r>
      <rPr>
        <sz val="24"/>
        <rFont val="Times New Roman"/>
        <family val="1"/>
      </rPr>
      <t>(затверджено рішенням районної у місті ради від 23.12.2016 № 119, зі змінами)</t>
    </r>
  </si>
  <si>
    <r>
      <t xml:space="preserve">Програма захисту прав дітей "Щасливе дитинство - майбутнє суспільства" на 2016-2020 роки </t>
    </r>
    <r>
      <rPr>
        <sz val="24"/>
        <rFont val="Times New Roman"/>
        <family val="1"/>
      </rPr>
      <t>(затверджено рішенням районної у місті ради від 23.12.2016 № 118, зі змінами)</t>
    </r>
  </si>
  <si>
    <r>
      <t xml:space="preserve">Програма реалізації молодіжної, сімейної та гендерної політики у Центрально-Міському районі на 2016-2020 роки </t>
    </r>
    <r>
      <rPr>
        <sz val="24"/>
        <rFont val="Times New Roman"/>
        <family val="1"/>
      </rPr>
      <t>(затверджено рішенням районної у місті ради від 23.12.2016 № 116, зі змінами)</t>
    </r>
  </si>
  <si>
    <r>
      <t xml:space="preserve">Програма розвитку культури і мистецтва у районі на 2017-2019 роки </t>
    </r>
    <r>
      <rPr>
        <sz val="24"/>
        <rFont val="Times New Roman"/>
        <family val="1"/>
      </rPr>
      <t>(затверджено рішенням районної у місті ради від 23.12.2016 № 115, зі змінами)</t>
    </r>
  </si>
  <si>
    <r>
      <t xml:space="preserve">Програма розвитку фізичної культури і спорту у районі на 2017-2020 роки </t>
    </r>
    <r>
      <rPr>
        <sz val="24"/>
        <rFont val="Times New Roman"/>
        <family val="1"/>
      </rPr>
      <t>(затверджено рішенням районної у місті ради від 23.12.2016 № 117, зі змінами)</t>
    </r>
  </si>
  <si>
    <r>
      <t xml:space="preserve">Програма соціально-економічного та культурного розвитку району на 2017-2019 роки </t>
    </r>
    <r>
      <rPr>
        <sz val="24"/>
        <rFont val="Times New Roman"/>
        <family val="1"/>
      </rPr>
      <t>(затверджено рішенням районної у місті ради від 23.12.2016 № 113, зі змінами)</t>
    </r>
  </si>
  <si>
    <r>
      <t xml:space="preserve">Програма реалізації заходів по утриманню об'єктів благоустрою району на 2017-2019 роки </t>
    </r>
    <r>
      <rPr>
        <sz val="24"/>
        <rFont val="Times New Roman"/>
        <family val="1"/>
      </rPr>
      <t>(затверджено рішенням районної у місті ради від 23.12.2016 № 114, зі змінами)</t>
    </r>
  </si>
  <si>
    <t>субвенція з міського бюджету районним у місті бюджетам за рахунок субвенції з обласного бюджету на виконання доручень виборців депутатами обласної ради у 2018 році</t>
  </si>
  <si>
    <t>0817363</t>
  </si>
  <si>
    <t>7363</t>
  </si>
  <si>
    <t>0817360</t>
  </si>
  <si>
    <t>7360</t>
  </si>
  <si>
    <t>Виконання інвестиційних проектів</t>
  </si>
  <si>
    <t>1417360</t>
  </si>
  <si>
    <t>1417363</t>
  </si>
  <si>
    <t>Виконання інвестиційних проектів в рамках здійснення заходів щодо соціально-економічного розвитку окремих територій</t>
  </si>
  <si>
    <t>0490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</si>
  <si>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</si>
  <si>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0100</t>
  </si>
  <si>
    <t>Державне управління</t>
  </si>
  <si>
    <t>3000</t>
  </si>
  <si>
    <t>Соціальний захист та соціальне забезпечення</t>
  </si>
  <si>
    <t>4000</t>
  </si>
  <si>
    <t>Культура і мистецтво</t>
  </si>
  <si>
    <t>5000</t>
  </si>
  <si>
    <t>Фізична культура і спорт</t>
  </si>
  <si>
    <t>6000</t>
  </si>
  <si>
    <t>Житлово-комунальне господарство</t>
  </si>
  <si>
    <t>7000</t>
  </si>
  <si>
    <t>Економічна діяльність</t>
  </si>
  <si>
    <t>субвенція з міського бюджету районним у місті бюджетам на облаштування житлових приміщень, придбаних у 2018 році за рахунок субвенції з державного бюджету на придбання житла для розвитку сімейних та інших форм виховання, наближених до сімейних</t>
  </si>
  <si>
    <t>1000</t>
  </si>
  <si>
    <t>Освіта</t>
  </si>
  <si>
    <t>0211060</t>
  </si>
  <si>
    <t>0910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</si>
  <si>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сім'ях, сім'ях патронатного вихователя</t>
  </si>
  <si>
    <r>
      <t>Програма реалізації заходів щодо оформлення та інвентаризації справ на нерухоме майно, державної реєстрації прав на нерухоме майно, яке визнане відумерлою спадщиною на 2017-2019 роки</t>
    </r>
    <r>
      <rPr>
        <sz val="24"/>
        <rFont val="Times New Roman"/>
        <family val="1"/>
      </rPr>
      <t xml:space="preserve"> (затверджено рішенням районної у місті ради від 29.08.2017 № 177, зі змінами)</t>
    </r>
  </si>
  <si>
    <r>
      <t>26.12.2018</t>
    </r>
    <r>
      <rPr>
        <i/>
        <sz val="38"/>
        <rFont val="Times New Roman"/>
        <family val="1"/>
      </rPr>
      <t xml:space="preserve"> № </t>
    </r>
    <r>
      <rPr>
        <i/>
        <u val="single"/>
        <sz val="38"/>
        <rFont val="Times New Roman"/>
        <family val="1"/>
      </rPr>
      <t>287</t>
    </r>
  </si>
  <si>
    <r>
      <t>26.12.2018</t>
    </r>
    <r>
      <rPr>
        <i/>
        <sz val="16"/>
        <rFont val="Times New Roman"/>
        <family val="1"/>
      </rPr>
      <t xml:space="preserve"> № </t>
    </r>
    <r>
      <rPr>
        <i/>
        <u val="single"/>
        <sz val="16"/>
        <rFont val="Times New Roman"/>
        <family val="1"/>
      </rPr>
      <t>287</t>
    </r>
  </si>
  <si>
    <r>
      <t>26.12.2018</t>
    </r>
    <r>
      <rPr>
        <i/>
        <sz val="50"/>
        <rFont val="Times New Roman"/>
        <family val="1"/>
      </rPr>
      <t xml:space="preserve"> № </t>
    </r>
    <r>
      <rPr>
        <i/>
        <u val="single"/>
        <sz val="50"/>
        <rFont val="Times New Roman"/>
        <family val="1"/>
      </rPr>
      <t>287</t>
    </r>
  </si>
  <si>
    <r>
      <t>26.12.2018</t>
    </r>
    <r>
      <rPr>
        <i/>
        <sz val="23"/>
        <rFont val="Times New Roman"/>
        <family val="1"/>
      </rPr>
      <t xml:space="preserve"> № </t>
    </r>
    <r>
      <rPr>
        <i/>
        <u val="single"/>
        <sz val="23"/>
        <rFont val="Times New Roman"/>
        <family val="1"/>
      </rPr>
      <t>287</t>
    </r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</si>
</sst>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422]d\ mmmm\ yyyy&quot; р.&quot;"/>
    <numFmt numFmtId="194" formatCode="#,##0.000"/>
    <numFmt numFmtId="195" formatCode="#,##0.0000"/>
    <numFmt numFmtId="196" formatCode="#,##0.0"/>
    <numFmt numFmtId="197" formatCode="0.000"/>
    <numFmt numFmtId="198" formatCode="0.0000"/>
    <numFmt numFmtId="199" formatCode="#,##0.00000"/>
    <numFmt numFmtId="200" formatCode="#,##0.000000"/>
  </numFmts>
  <fonts count="90">
    <font>
      <sz val="10"/>
      <name val="Arial"/>
      <family val="2"/>
    </font>
    <font>
      <sz val="10"/>
      <name val="Bookman Old Style"/>
      <family val="1"/>
    </font>
    <font>
      <sz val="12"/>
      <name val="Bookman Old Style"/>
      <family val="1"/>
    </font>
    <font>
      <sz val="23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0"/>
      <name val="Bookman Old Style"/>
      <family val="1"/>
    </font>
    <font>
      <b/>
      <sz val="10"/>
      <name val="Bookman Old Style"/>
      <family val="1"/>
    </font>
    <font>
      <b/>
      <sz val="12"/>
      <name val="Bookman Old Style"/>
      <family val="1"/>
    </font>
    <font>
      <sz val="15"/>
      <name val="Bookman Old Style"/>
      <family val="1"/>
    </font>
    <font>
      <sz val="22"/>
      <name val="Bookman Old Style"/>
      <family val="1"/>
    </font>
    <font>
      <sz val="16"/>
      <name val="Times New Roman"/>
      <family val="1"/>
    </font>
    <font>
      <sz val="14"/>
      <name val="Bookman Old Style"/>
      <family val="1"/>
    </font>
    <font>
      <sz val="16"/>
      <name val="Bookman Old Style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Bookman Old Style"/>
      <family val="1"/>
    </font>
    <font>
      <sz val="2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4"/>
      <color indexed="8"/>
      <name val="Times New Roman"/>
      <family val="1"/>
    </font>
    <font>
      <sz val="13"/>
      <name val="Bookman Old Style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u val="single"/>
      <sz val="19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i/>
      <sz val="23"/>
      <name val="Times New Roman"/>
      <family val="1"/>
    </font>
    <font>
      <i/>
      <sz val="23"/>
      <name val="Times New Roman"/>
      <family val="1"/>
    </font>
    <font>
      <i/>
      <u val="single"/>
      <sz val="23"/>
      <name val="Times New Roman"/>
      <family val="1"/>
    </font>
    <font>
      <i/>
      <sz val="30"/>
      <name val="Times New Roman"/>
      <family val="1"/>
    </font>
    <font>
      <i/>
      <u val="single"/>
      <sz val="30"/>
      <name val="Times New Roman"/>
      <family val="1"/>
    </font>
    <font>
      <i/>
      <sz val="50"/>
      <name val="Times New Roman"/>
      <family val="1"/>
    </font>
    <font>
      <i/>
      <u val="single"/>
      <sz val="50"/>
      <name val="Times New Roman"/>
      <family val="1"/>
    </font>
    <font>
      <b/>
      <i/>
      <sz val="50"/>
      <name val="Times New Roman"/>
      <family val="1"/>
    </font>
    <font>
      <sz val="25"/>
      <name val="Bookman Old Style"/>
      <family val="1"/>
    </font>
    <font>
      <b/>
      <i/>
      <sz val="10"/>
      <name val="Bookman Old Style"/>
      <family val="1"/>
    </font>
    <font>
      <b/>
      <i/>
      <u val="single"/>
      <sz val="30"/>
      <name val="Times New Roman"/>
      <family val="1"/>
    </font>
    <font>
      <b/>
      <i/>
      <sz val="12"/>
      <name val="Bookman Old Style"/>
      <family val="1"/>
    </font>
    <font>
      <i/>
      <sz val="38"/>
      <name val="Times New Roman"/>
      <family val="1"/>
    </font>
    <font>
      <i/>
      <sz val="10"/>
      <name val="Bookman Old Style"/>
      <family val="1"/>
    </font>
    <font>
      <i/>
      <u val="single"/>
      <sz val="38"/>
      <name val="Times New Roman"/>
      <family val="1"/>
    </font>
    <font>
      <b/>
      <i/>
      <sz val="18"/>
      <name val="Times New Roman"/>
      <family val="1"/>
    </font>
    <font>
      <i/>
      <sz val="16"/>
      <name val="Times New Roman"/>
      <family val="1"/>
    </font>
    <font>
      <i/>
      <u val="single"/>
      <sz val="16"/>
      <name val="Times New Roman"/>
      <family val="1"/>
    </font>
    <font>
      <b/>
      <i/>
      <sz val="40"/>
      <name val="Times New Roman"/>
      <family val="1"/>
    </font>
    <font>
      <sz val="8"/>
      <name val="Arial"/>
      <family val="2"/>
    </font>
    <font>
      <sz val="16"/>
      <color indexed="8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i/>
      <sz val="4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9" fontId="0" fillId="0" borderId="0" applyFill="0" applyBorder="0" applyAlignment="0" applyProtection="0"/>
    <xf numFmtId="0" fontId="76" fillId="27" borderId="0" applyNumberFormat="0" applyBorder="0" applyAlignment="0" applyProtection="0"/>
    <xf numFmtId="0" fontId="53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7" fillId="0" borderId="2" applyNumberFormat="0" applyFill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5" applyNumberFormat="0" applyFill="0" applyAlignment="0" applyProtection="0"/>
    <xf numFmtId="0" fontId="81" fillId="28" borderId="6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85" fillId="0" borderId="7" applyNumberFormat="0" applyFill="0" applyAlignment="0" applyProtection="0"/>
    <xf numFmtId="0" fontId="86" fillId="31" borderId="0" applyNumberFormat="0" applyBorder="0" applyAlignment="0" applyProtection="0"/>
    <xf numFmtId="0" fontId="0" fillId="32" borderId="8" applyNumberFormat="0" applyFont="0" applyAlignment="0" applyProtection="0"/>
    <xf numFmtId="0" fontId="87" fillId="30" borderId="9" applyNumberFormat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55" applyFont="1">
      <alignment/>
      <protection/>
    </xf>
    <xf numFmtId="0" fontId="2" fillId="0" borderId="0" xfId="55" applyFont="1" applyAlignment="1">
      <alignment horizontal="left" indent="15"/>
      <protection/>
    </xf>
    <xf numFmtId="0" fontId="2" fillId="0" borderId="0" xfId="55" applyFont="1">
      <alignment/>
      <protection/>
    </xf>
    <xf numFmtId="0" fontId="3" fillId="0" borderId="0" xfId="55" applyFont="1" applyAlignment="1">
      <alignment horizontal="right"/>
      <protection/>
    </xf>
    <xf numFmtId="0" fontId="4" fillId="0" borderId="10" xfId="55" applyFont="1" applyBorder="1" applyAlignment="1">
      <alignment horizontal="center" vertical="center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2" fillId="0" borderId="0" xfId="55" applyFont="1" applyAlignment="1">
      <alignment wrapText="1"/>
      <protection/>
    </xf>
    <xf numFmtId="0" fontId="5" fillId="0" borderId="10" xfId="55" applyFont="1" applyBorder="1" applyAlignment="1">
      <alignment horizontal="center" vertical="center"/>
      <protection/>
    </xf>
    <xf numFmtId="0" fontId="5" fillId="0" borderId="10" xfId="55" applyFont="1" applyBorder="1" applyAlignment="1">
      <alignment horizontal="center" vertical="center" wrapText="1"/>
      <protection/>
    </xf>
    <xf numFmtId="0" fontId="6" fillId="0" borderId="0" xfId="55" applyFont="1">
      <alignment/>
      <protection/>
    </xf>
    <xf numFmtId="0" fontId="4" fillId="0" borderId="10" xfId="55" applyFont="1" applyBorder="1" applyAlignment="1">
      <alignment horizontal="left" vertical="center" wrapText="1"/>
      <protection/>
    </xf>
    <xf numFmtId="0" fontId="5" fillId="0" borderId="10" xfId="55" applyFont="1" applyBorder="1" applyAlignment="1">
      <alignment horizontal="left" vertical="center" wrapText="1"/>
      <protection/>
    </xf>
    <xf numFmtId="0" fontId="7" fillId="0" borderId="0" xfId="55" applyFont="1">
      <alignment/>
      <protection/>
    </xf>
    <xf numFmtId="4" fontId="4" fillId="0" borderId="10" xfId="55" applyNumberFormat="1" applyFont="1" applyBorder="1" applyAlignment="1">
      <alignment horizontal="left" vertical="center" wrapText="1"/>
      <protection/>
    </xf>
    <xf numFmtId="4" fontId="5" fillId="0" borderId="10" xfId="55" applyNumberFormat="1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2" fillId="0" borderId="0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horizontal="left" vertical="center"/>
      <protection/>
    </xf>
    <xf numFmtId="4" fontId="8" fillId="0" borderId="0" xfId="55" applyNumberFormat="1" applyFont="1" applyBorder="1">
      <alignment/>
      <protection/>
    </xf>
    <xf numFmtId="0" fontId="2" fillId="0" borderId="0" xfId="55" applyFont="1" applyBorder="1" applyAlignment="1">
      <alignment horizontal="left" vertical="center"/>
      <protection/>
    </xf>
    <xf numFmtId="0" fontId="9" fillId="0" borderId="0" xfId="55" applyFont="1">
      <alignment/>
      <protection/>
    </xf>
    <xf numFmtId="0" fontId="10" fillId="0" borderId="0" xfId="55" applyFont="1">
      <alignment/>
      <protection/>
    </xf>
    <xf numFmtId="4" fontId="10" fillId="0" borderId="0" xfId="55" applyNumberFormat="1" applyFont="1">
      <alignment/>
      <protection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15" fillId="0" borderId="0" xfId="0" applyFont="1" applyAlignment="1">
      <alignment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30" fillId="0" borderId="0" xfId="0" applyFont="1" applyAlignment="1">
      <alignment/>
    </xf>
    <xf numFmtId="0" fontId="27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11" fillId="0" borderId="0" xfId="0" applyFont="1" applyAlignment="1">
      <alignment horizontal="center"/>
    </xf>
    <xf numFmtId="0" fontId="22" fillId="34" borderId="0" xfId="0" applyFont="1" applyFill="1" applyAlignment="1">
      <alignment/>
    </xf>
    <xf numFmtId="0" fontId="33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41" fillId="0" borderId="0" xfId="55" applyFont="1">
      <alignment/>
      <protection/>
    </xf>
    <xf numFmtId="0" fontId="5" fillId="0" borderId="12" xfId="0" applyFont="1" applyBorder="1" applyAlignment="1">
      <alignment horizontal="left" vertical="top" wrapText="1"/>
    </xf>
    <xf numFmtId="0" fontId="42" fillId="0" borderId="0" xfId="55" applyFont="1" applyAlignment="1">
      <alignment horizontal="left"/>
      <protection/>
    </xf>
    <xf numFmtId="0" fontId="43" fillId="0" borderId="0" xfId="55" applyFont="1">
      <alignment/>
      <protection/>
    </xf>
    <xf numFmtId="0" fontId="44" fillId="0" borderId="0" xfId="0" applyFont="1" applyAlignment="1">
      <alignment horizontal="left"/>
    </xf>
    <xf numFmtId="0" fontId="35" fillId="0" borderId="0" xfId="55" applyFont="1" applyAlignment="1">
      <alignment horizontal="left"/>
      <protection/>
    </xf>
    <xf numFmtId="0" fontId="45" fillId="0" borderId="0" xfId="55" applyFont="1">
      <alignment/>
      <protection/>
    </xf>
    <xf numFmtId="0" fontId="46" fillId="0" borderId="0" xfId="0" applyFont="1" applyAlignment="1">
      <alignment horizontal="left"/>
    </xf>
    <xf numFmtId="0" fontId="36" fillId="0" borderId="0" xfId="55" applyFont="1" applyAlignment="1">
      <alignment horizontal="left"/>
      <protection/>
    </xf>
    <xf numFmtId="0" fontId="5" fillId="0" borderId="12" xfId="55" applyFont="1" applyBorder="1" applyAlignment="1">
      <alignment horizontal="center" vertical="center"/>
      <protection/>
    </xf>
    <xf numFmtId="0" fontId="49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5" fillId="0" borderId="0" xfId="0" applyFont="1" applyAlignment="1">
      <alignment/>
    </xf>
    <xf numFmtId="4" fontId="4" fillId="0" borderId="10" xfId="55" applyNumberFormat="1" applyFont="1" applyBorder="1" applyAlignment="1">
      <alignment horizontal="right" vertical="center" wrapText="1"/>
      <protection/>
    </xf>
    <xf numFmtId="4" fontId="5" fillId="0" borderId="10" xfId="55" applyNumberFormat="1" applyFont="1" applyBorder="1" applyAlignment="1">
      <alignment horizontal="right" vertical="center" wrapText="1"/>
      <protection/>
    </xf>
    <xf numFmtId="4" fontId="5" fillId="33" borderId="10" xfId="55" applyNumberFormat="1" applyFont="1" applyFill="1" applyBorder="1" applyAlignment="1">
      <alignment horizontal="right" vertical="center" wrapText="1"/>
      <protection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49" fontId="11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31" fillId="0" borderId="10" xfId="0" applyFont="1" applyBorder="1" applyAlignment="1">
      <alignment horizontal="left" vertical="center"/>
    </xf>
    <xf numFmtId="0" fontId="31" fillId="0" borderId="10" xfId="0" applyFont="1" applyBorder="1" applyAlignment="1">
      <alignment horizontal="center" vertical="center"/>
    </xf>
    <xf numFmtId="0" fontId="4" fillId="0" borderId="12" xfId="55" applyFont="1" applyBorder="1" applyAlignment="1">
      <alignment horizontal="left" vertical="center" wrapText="1"/>
      <protection/>
    </xf>
    <xf numFmtId="4" fontId="4" fillId="0" borderId="12" xfId="55" applyNumberFormat="1" applyFont="1" applyBorder="1" applyAlignment="1">
      <alignment horizontal="right" vertical="center" wrapText="1"/>
      <protection/>
    </xf>
    <xf numFmtId="0" fontId="5" fillId="0" borderId="12" xfId="55" applyFont="1" applyBorder="1" applyAlignment="1">
      <alignment horizontal="left" vertical="center" wrapText="1"/>
      <protection/>
    </xf>
    <xf numFmtId="4" fontId="5" fillId="0" borderId="12" xfId="55" applyNumberFormat="1" applyFont="1" applyBorder="1" applyAlignment="1">
      <alignment horizontal="right" vertical="center" wrapText="1"/>
      <protection/>
    </xf>
    <xf numFmtId="0" fontId="4" fillId="0" borderId="12" xfId="55" applyFont="1" applyBorder="1" applyAlignment="1">
      <alignment horizontal="center" vertical="center"/>
      <protection/>
    </xf>
    <xf numFmtId="0" fontId="44" fillId="0" borderId="0" xfId="57" applyFont="1" applyAlignment="1">
      <alignment horizontal="left"/>
      <protection/>
    </xf>
    <xf numFmtId="0" fontId="46" fillId="0" borderId="0" xfId="57" applyFont="1" applyAlignment="1">
      <alignment horizontal="left"/>
      <protection/>
    </xf>
    <xf numFmtId="0" fontId="5" fillId="0" borderId="12" xfId="56" applyFont="1" applyBorder="1" applyAlignment="1">
      <alignment horizontal="left" vertical="center" wrapText="1"/>
      <protection/>
    </xf>
    <xf numFmtId="0" fontId="5" fillId="0" borderId="10" xfId="57" applyFont="1" applyBorder="1" applyAlignment="1">
      <alignment horizontal="left" vertical="center" wrapText="1"/>
      <protection/>
    </xf>
    <xf numFmtId="0" fontId="50" fillId="0" borderId="0" xfId="55" applyFont="1">
      <alignment/>
      <protection/>
    </xf>
    <xf numFmtId="0" fontId="55" fillId="0" borderId="0" xfId="55" applyFont="1">
      <alignment/>
      <protection/>
    </xf>
    <xf numFmtId="4" fontId="55" fillId="0" borderId="0" xfId="55" applyNumberFormat="1" applyFont="1">
      <alignment/>
      <protection/>
    </xf>
    <xf numFmtId="4" fontId="50" fillId="0" borderId="0" xfId="55" applyNumberFormat="1" applyFont="1">
      <alignment/>
      <protection/>
    </xf>
    <xf numFmtId="0" fontId="5" fillId="0" borderId="12" xfId="57" applyFont="1" applyBorder="1" applyAlignment="1">
      <alignment horizontal="left" vertical="center" wrapText="1"/>
      <protection/>
    </xf>
    <xf numFmtId="0" fontId="1" fillId="0" borderId="0" xfId="57" applyFont="1">
      <alignment/>
      <protection/>
    </xf>
    <xf numFmtId="0" fontId="37" fillId="0" borderId="0" xfId="57" applyFont="1" applyAlignment="1">
      <alignment horizontal="left"/>
      <protection/>
    </xf>
    <xf numFmtId="0" fontId="12" fillId="0" borderId="0" xfId="57" applyFont="1" applyAlignment="1">
      <alignment horizontal="left"/>
      <protection/>
    </xf>
    <xf numFmtId="0" fontId="38" fillId="0" borderId="0" xfId="57" applyFont="1" applyAlignment="1">
      <alignment horizontal="left"/>
      <protection/>
    </xf>
    <xf numFmtId="0" fontId="1" fillId="0" borderId="0" xfId="57" applyFont="1" applyAlignment="1">
      <alignment horizontal="left"/>
      <protection/>
    </xf>
    <xf numFmtId="0" fontId="16" fillId="0" borderId="0" xfId="57" applyFont="1" applyBorder="1" applyAlignment="1">
      <alignment horizontal="center"/>
      <protection/>
    </xf>
    <xf numFmtId="0" fontId="40" fillId="0" borderId="0" xfId="57" applyFont="1" applyBorder="1" applyAlignment="1">
      <alignment horizontal="center"/>
      <protection/>
    </xf>
    <xf numFmtId="0" fontId="17" fillId="0" borderId="10" xfId="57" applyFont="1" applyBorder="1" applyAlignment="1">
      <alignment horizontal="center" vertical="center" wrapText="1"/>
      <protection/>
    </xf>
    <xf numFmtId="0" fontId="18" fillId="0" borderId="0" xfId="57" applyFont="1">
      <alignment/>
      <protection/>
    </xf>
    <xf numFmtId="0" fontId="17" fillId="0" borderId="10" xfId="57" applyFont="1" applyBorder="1" applyAlignment="1">
      <alignment horizontal="center" vertical="center"/>
      <protection/>
    </xf>
    <xf numFmtId="49" fontId="5" fillId="0" borderId="10" xfId="57" applyNumberFormat="1" applyFont="1" applyBorder="1" applyAlignment="1">
      <alignment horizontal="center" vertical="center"/>
      <protection/>
    </xf>
    <xf numFmtId="0" fontId="4" fillId="0" borderId="10" xfId="57" applyFont="1" applyBorder="1" applyAlignment="1">
      <alignment horizontal="left" vertical="center" wrapText="1"/>
      <protection/>
    </xf>
    <xf numFmtId="4" fontId="4" fillId="0" borderId="10" xfId="57" applyNumberFormat="1" applyFont="1" applyBorder="1" applyAlignment="1">
      <alignment horizontal="right" vertical="center"/>
      <protection/>
    </xf>
    <xf numFmtId="49" fontId="4" fillId="0" borderId="10" xfId="57" applyNumberFormat="1" applyFont="1" applyBorder="1" applyAlignment="1">
      <alignment horizontal="center" vertical="center"/>
      <protection/>
    </xf>
    <xf numFmtId="4" fontId="5" fillId="0" borderId="10" xfId="57" applyNumberFormat="1" applyFont="1" applyBorder="1" applyAlignment="1">
      <alignment horizontal="right" vertical="center"/>
      <protection/>
    </xf>
    <xf numFmtId="49" fontId="5" fillId="0" borderId="10" xfId="57" applyNumberFormat="1" applyFont="1" applyFill="1" applyBorder="1" applyAlignment="1">
      <alignment horizontal="center" vertical="center"/>
      <protection/>
    </xf>
    <xf numFmtId="0" fontId="5" fillId="33" borderId="10" xfId="57" applyFont="1" applyFill="1" applyBorder="1" applyAlignment="1">
      <alignment horizontal="left" vertical="center" wrapText="1"/>
      <protection/>
    </xf>
    <xf numFmtId="4" fontId="5" fillId="0" borderId="10" xfId="57" applyNumberFormat="1" applyFont="1" applyFill="1" applyBorder="1" applyAlignment="1">
      <alignment horizontal="right" vertical="center"/>
      <protection/>
    </xf>
    <xf numFmtId="0" fontId="19" fillId="0" borderId="0" xfId="57" applyFont="1">
      <alignment/>
      <protection/>
    </xf>
    <xf numFmtId="0" fontId="5" fillId="0" borderId="10" xfId="57" applyFont="1" applyFill="1" applyBorder="1" applyAlignment="1">
      <alignment horizontal="left" vertical="center" wrapText="1"/>
      <protection/>
    </xf>
    <xf numFmtId="4" fontId="5" fillId="33" borderId="10" xfId="57" applyNumberFormat="1" applyFont="1" applyFill="1" applyBorder="1" applyAlignment="1">
      <alignment horizontal="right" vertical="center"/>
      <protection/>
    </xf>
    <xf numFmtId="0" fontId="5" fillId="0" borderId="13" xfId="57" applyFont="1" applyBorder="1" applyAlignment="1">
      <alignment horizontal="left" vertical="center" wrapText="1"/>
      <protection/>
    </xf>
    <xf numFmtId="49" fontId="5" fillId="0" borderId="10" xfId="57" applyNumberFormat="1" applyFont="1" applyBorder="1" applyAlignment="1">
      <alignment horizontal="center" vertical="center" wrapText="1"/>
      <protection/>
    </xf>
    <xf numFmtId="0" fontId="20" fillId="0" borderId="10" xfId="57" applyFont="1" applyBorder="1" applyAlignment="1">
      <alignment horizontal="left" vertical="center"/>
      <protection/>
    </xf>
    <xf numFmtId="0" fontId="20" fillId="0" borderId="10" xfId="57" applyFont="1" applyBorder="1" applyAlignment="1">
      <alignment horizontal="left" vertical="center" wrapText="1"/>
      <protection/>
    </xf>
    <xf numFmtId="4" fontId="29" fillId="0" borderId="10" xfId="57" applyNumberFormat="1" applyFont="1" applyBorder="1" applyAlignment="1">
      <alignment horizontal="right" vertical="center"/>
      <protection/>
    </xf>
    <xf numFmtId="49" fontId="4" fillId="0" borderId="10" xfId="57" applyNumberFormat="1" applyFont="1" applyBorder="1" applyAlignment="1">
      <alignment horizontal="center" vertical="center" wrapText="1"/>
      <protection/>
    </xf>
    <xf numFmtId="4" fontId="4" fillId="33" borderId="10" xfId="57" applyNumberFormat="1" applyFont="1" applyFill="1" applyBorder="1" applyAlignment="1">
      <alignment horizontal="right" vertical="center"/>
      <protection/>
    </xf>
    <xf numFmtId="0" fontId="4" fillId="0" borderId="10" xfId="57" applyFont="1" applyBorder="1" applyAlignment="1">
      <alignment vertical="center" wrapText="1"/>
      <protection/>
    </xf>
    <xf numFmtId="0" fontId="21" fillId="0" borderId="0" xfId="57" applyFont="1" applyAlignment="1">
      <alignment horizontal="center" vertical="center"/>
      <protection/>
    </xf>
    <xf numFmtId="0" fontId="21" fillId="0" borderId="0" xfId="57" applyFont="1">
      <alignment/>
      <protection/>
    </xf>
    <xf numFmtId="0" fontId="6" fillId="0" borderId="0" xfId="57" applyFont="1" applyAlignment="1">
      <alignment horizontal="center" vertical="center"/>
      <protection/>
    </xf>
    <xf numFmtId="0" fontId="6" fillId="0" borderId="0" xfId="57" applyFont="1">
      <alignment/>
      <protection/>
    </xf>
    <xf numFmtId="0" fontId="1" fillId="0" borderId="0" xfId="57" applyFont="1" applyAlignment="1">
      <alignment horizontal="center" vertical="center"/>
      <protection/>
    </xf>
    <xf numFmtId="49" fontId="31" fillId="0" borderId="10" xfId="57" applyNumberFormat="1" applyFont="1" applyBorder="1" applyAlignment="1">
      <alignment horizontal="center" vertical="center" wrapText="1"/>
      <protection/>
    </xf>
    <xf numFmtId="0" fontId="31" fillId="0" borderId="10" xfId="57" applyFont="1" applyBorder="1" applyAlignment="1">
      <alignment horizontal="left" vertical="center" wrapText="1"/>
      <protection/>
    </xf>
    <xf numFmtId="49" fontId="11" fillId="0" borderId="10" xfId="57" applyNumberFormat="1" applyFont="1" applyBorder="1" applyAlignment="1">
      <alignment horizontal="center" vertical="center" wrapText="1"/>
      <protection/>
    </xf>
    <xf numFmtId="0" fontId="52" fillId="0" borderId="10" xfId="57" applyFont="1" applyBorder="1" applyAlignment="1">
      <alignment horizontal="left" vertical="center" wrapText="1"/>
      <protection/>
    </xf>
    <xf numFmtId="0" fontId="5" fillId="0" borderId="14" xfId="55" applyFont="1" applyBorder="1" applyAlignment="1">
      <alignment horizontal="center" vertical="center"/>
      <protection/>
    </xf>
    <xf numFmtId="0" fontId="1" fillId="35" borderId="0" xfId="55" applyFont="1" applyFill="1">
      <alignment/>
      <protection/>
    </xf>
    <xf numFmtId="0" fontId="5" fillId="36" borderId="12" xfId="55" applyFont="1" applyFill="1" applyBorder="1" applyAlignment="1">
      <alignment horizontal="center" vertical="center"/>
      <protection/>
    </xf>
    <xf numFmtId="0" fontId="5" fillId="36" borderId="12" xfId="0" applyFont="1" applyFill="1" applyBorder="1" applyAlignment="1">
      <alignment horizontal="left" vertical="center" wrapText="1"/>
    </xf>
    <xf numFmtId="4" fontId="5" fillId="36" borderId="12" xfId="55" applyNumberFormat="1" applyFont="1" applyFill="1" applyBorder="1" applyAlignment="1">
      <alignment horizontal="right" vertical="center" wrapText="1"/>
      <protection/>
    </xf>
    <xf numFmtId="0" fontId="4" fillId="33" borderId="10" xfId="57" applyFont="1" applyFill="1" applyBorder="1" applyAlignment="1">
      <alignment horizontal="left" vertical="center" wrapText="1"/>
      <protection/>
    </xf>
    <xf numFmtId="49" fontId="5" fillId="0" borderId="14" xfId="57" applyNumberFormat="1" applyFont="1" applyBorder="1" applyAlignment="1">
      <alignment horizontal="center" vertical="center"/>
      <protection/>
    </xf>
    <xf numFmtId="0" fontId="5" fillId="0" borderId="0" xfId="57" applyFont="1" applyBorder="1" applyAlignment="1">
      <alignment horizontal="center" vertical="center"/>
      <protection/>
    </xf>
    <xf numFmtId="49" fontId="5" fillId="0" borderId="12" xfId="57" applyNumberFormat="1" applyFont="1" applyBorder="1" applyAlignment="1">
      <alignment horizontal="center" vertical="center"/>
      <protection/>
    </xf>
    <xf numFmtId="49" fontId="11" fillId="0" borderId="10" xfId="57" applyNumberFormat="1" applyFont="1" applyBorder="1" applyAlignment="1">
      <alignment horizontal="center" vertical="center"/>
      <protection/>
    </xf>
    <xf numFmtId="49" fontId="31" fillId="0" borderId="10" xfId="57" applyNumberFormat="1" applyFont="1" applyBorder="1" applyAlignment="1">
      <alignment horizontal="center" vertical="center"/>
      <protection/>
    </xf>
    <xf numFmtId="0" fontId="11" fillId="0" borderId="10" xfId="57" applyFont="1" applyBorder="1" applyAlignment="1">
      <alignment horizontal="left" vertical="center" wrapText="1"/>
      <protection/>
    </xf>
    <xf numFmtId="49" fontId="11" fillId="0" borderId="10" xfId="57" applyNumberFormat="1" applyFont="1" applyFill="1" applyBorder="1" applyAlignment="1">
      <alignment horizontal="center" vertical="center"/>
      <protection/>
    </xf>
    <xf numFmtId="0" fontId="11" fillId="33" borderId="10" xfId="57" applyFont="1" applyFill="1" applyBorder="1" applyAlignment="1">
      <alignment horizontal="left" vertical="center" wrapText="1"/>
      <protection/>
    </xf>
    <xf numFmtId="49" fontId="11" fillId="0" borderId="14" xfId="57" applyNumberFormat="1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left" vertical="center" wrapText="1"/>
      <protection/>
    </xf>
    <xf numFmtId="4" fontId="5" fillId="0" borderId="14" xfId="55" applyNumberFormat="1" applyFont="1" applyBorder="1" applyAlignment="1">
      <alignment horizontal="right" vertical="center" wrapText="1"/>
      <protection/>
    </xf>
    <xf numFmtId="49" fontId="5" fillId="36" borderId="10" xfId="57" applyNumberFormat="1" applyFont="1" applyFill="1" applyBorder="1" applyAlignment="1">
      <alignment horizontal="center" vertical="center" wrapText="1"/>
      <protection/>
    </xf>
    <xf numFmtId="49" fontId="5" fillId="0" borderId="15" xfId="57" applyNumberFormat="1" applyFont="1" applyBorder="1" applyAlignment="1">
      <alignment horizontal="center" vertical="center"/>
      <protection/>
    </xf>
    <xf numFmtId="49" fontId="5" fillId="0" borderId="16" xfId="57" applyNumberFormat="1" applyFont="1" applyBorder="1" applyAlignment="1">
      <alignment horizontal="center" vertical="center"/>
      <protection/>
    </xf>
    <xf numFmtId="0" fontId="4" fillId="0" borderId="17" xfId="57" applyFont="1" applyBorder="1" applyAlignment="1">
      <alignment vertical="center" wrapText="1"/>
      <protection/>
    </xf>
    <xf numFmtId="49" fontId="4" fillId="0" borderId="12" xfId="57" applyNumberFormat="1" applyFont="1" applyBorder="1" applyAlignment="1">
      <alignment horizontal="center" vertical="center"/>
      <protection/>
    </xf>
    <xf numFmtId="49" fontId="4" fillId="0" borderId="15" xfId="57" applyNumberFormat="1" applyFont="1" applyBorder="1" applyAlignment="1">
      <alignment horizontal="center" vertical="center"/>
      <protection/>
    </xf>
    <xf numFmtId="0" fontId="31" fillId="33" borderId="10" xfId="57" applyFont="1" applyFill="1" applyBorder="1" applyAlignment="1">
      <alignment horizontal="left" vertical="center" wrapText="1"/>
      <protection/>
    </xf>
    <xf numFmtId="49" fontId="11" fillId="36" borderId="10" xfId="57" applyNumberFormat="1" applyFont="1" applyFill="1" applyBorder="1" applyAlignment="1">
      <alignment horizontal="center" vertical="center" wrapText="1"/>
      <protection/>
    </xf>
    <xf numFmtId="49" fontId="31" fillId="0" borderId="12" xfId="57" applyNumberFormat="1" applyFont="1" applyBorder="1" applyAlignment="1">
      <alignment horizontal="center" vertical="center"/>
      <protection/>
    </xf>
    <xf numFmtId="49" fontId="31" fillId="0" borderId="15" xfId="57" applyNumberFormat="1" applyFont="1" applyBorder="1" applyAlignment="1">
      <alignment horizontal="center" vertical="center"/>
      <protection/>
    </xf>
    <xf numFmtId="49" fontId="11" fillId="0" borderId="12" xfId="57" applyNumberFormat="1" applyFont="1" applyBorder="1" applyAlignment="1">
      <alignment horizontal="center" vertical="center"/>
      <protection/>
    </xf>
    <xf numFmtId="49" fontId="11" fillId="0" borderId="15" xfId="57" applyNumberFormat="1" applyFont="1" applyBorder="1" applyAlignment="1">
      <alignment horizontal="center" vertical="center"/>
      <protection/>
    </xf>
    <xf numFmtId="4" fontId="31" fillId="0" borderId="10" xfId="0" applyNumberFormat="1" applyFont="1" applyBorder="1" applyAlignment="1">
      <alignment horizontal="right" vertical="center" wrapText="1"/>
    </xf>
    <xf numFmtId="4" fontId="3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right" vertical="center" wrapText="1"/>
    </xf>
    <xf numFmtId="4" fontId="15" fillId="0" borderId="10" xfId="0" applyNumberFormat="1" applyFont="1" applyBorder="1" applyAlignment="1">
      <alignment horizontal="right" vertical="center" wrapText="1"/>
    </xf>
    <xf numFmtId="4" fontId="14" fillId="0" borderId="10" xfId="0" applyNumberFormat="1" applyFont="1" applyBorder="1" applyAlignment="1">
      <alignment horizontal="right" vertical="center" wrapText="1"/>
    </xf>
    <xf numFmtId="4" fontId="14" fillId="0" borderId="10" xfId="0" applyNumberFormat="1" applyFont="1" applyFill="1" applyBorder="1" applyAlignment="1">
      <alignment horizontal="right" vertical="center" wrapText="1"/>
    </xf>
    <xf numFmtId="4" fontId="31" fillId="33" borderId="10" xfId="0" applyNumberFormat="1" applyFont="1" applyFill="1" applyBorder="1" applyAlignment="1">
      <alignment horizontal="right" vertical="center" wrapText="1"/>
    </xf>
    <xf numFmtId="4" fontId="28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right" vertical="center" wrapText="1"/>
    </xf>
    <xf numFmtId="4" fontId="3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31" fillId="0" borderId="10" xfId="0" applyNumberFormat="1" applyFont="1" applyBorder="1" applyAlignment="1">
      <alignment horizontal="right" vertical="center"/>
    </xf>
    <xf numFmtId="4" fontId="11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49" fontId="4" fillId="0" borderId="10" xfId="57" applyNumberFormat="1" applyFont="1" applyFill="1" applyBorder="1" applyAlignment="1">
      <alignment horizontal="center" vertical="center"/>
      <protection/>
    </xf>
    <xf numFmtId="49" fontId="4" fillId="0" borderId="14" xfId="57" applyNumberFormat="1" applyFont="1" applyBorder="1" applyAlignment="1">
      <alignment horizontal="center" vertical="center"/>
      <protection/>
    </xf>
    <xf numFmtId="0" fontId="50" fillId="0" borderId="0" xfId="55" applyFont="1" applyBorder="1" applyAlignment="1">
      <alignment horizontal="center"/>
      <protection/>
    </xf>
    <xf numFmtId="0" fontId="4" fillId="0" borderId="10" xfId="55" applyFont="1" applyBorder="1" applyAlignment="1">
      <alignment horizontal="center" vertical="center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47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39" fillId="0" borderId="0" xfId="57" applyFont="1" applyBorder="1" applyAlignment="1">
      <alignment horizontal="center"/>
      <protection/>
    </xf>
    <xf numFmtId="0" fontId="17" fillId="0" borderId="10" xfId="57" applyFont="1" applyBorder="1" applyAlignment="1">
      <alignment horizontal="center" vertical="center" wrapText="1"/>
      <protection/>
    </xf>
    <xf numFmtId="0" fontId="17" fillId="33" borderId="10" xfId="57" applyFont="1" applyFill="1" applyBorder="1" applyAlignment="1">
      <alignment horizontal="center" vertical="center" wrapText="1"/>
      <protection/>
    </xf>
    <xf numFmtId="0" fontId="32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_ДОДАТКИ 1 2016" xfId="55"/>
    <cellStyle name="Обычный_ДОДАТКИ 1,2 від  20.12.17 №" xfId="56"/>
    <cellStyle name="Обычный_ДОДАТКИ 1,2, 3,4, 5, 6 від  22.12.17 №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esktop\&#1057;&#1077;&#1089;&#1110;&#1103;%2019.10.2017%20&#1079;&#1084;&#1110;&#1085;&#1080;\&#1044;&#1054;&#1044;&#1040;&#1058;&#1050;&#1048;%201,2,%203,4,%205,%206%20&#1074;&#1110;&#1076;%20%2019.10.17%20&#847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5"/>
      <sheetName val="Дод 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M65"/>
  <sheetViews>
    <sheetView view="pageBreakPreview" zoomScale="50" zoomScaleNormal="60" zoomScaleSheetLayoutView="50" zoomScalePageLayoutView="0" workbookViewId="0" topLeftCell="A1">
      <selection activeCell="C6" sqref="C6"/>
    </sheetView>
  </sheetViews>
  <sheetFormatPr defaultColWidth="9.140625" defaultRowHeight="12.75"/>
  <cols>
    <col min="1" max="1" width="26.8515625" style="1" customWidth="1"/>
    <col min="2" max="2" width="131.28125" style="1" customWidth="1"/>
    <col min="3" max="3" width="32.8515625" style="1" customWidth="1"/>
    <col min="4" max="4" width="36.00390625" style="1" customWidth="1"/>
    <col min="5" max="5" width="27.57421875" style="1" customWidth="1"/>
    <col min="6" max="6" width="26.7109375" style="1" customWidth="1"/>
    <col min="7" max="16384" width="9.140625" style="1" customWidth="1"/>
  </cols>
  <sheetData>
    <row r="1" spans="4:10" ht="46.5" customHeight="1">
      <c r="D1" s="101" t="s">
        <v>0</v>
      </c>
      <c r="E1" s="64"/>
      <c r="F1" s="65"/>
      <c r="J1" s="2"/>
    </row>
    <row r="2" spans="1:13" ht="46.5" customHeight="1">
      <c r="A2" s="3"/>
      <c r="B2" s="3"/>
      <c r="C2" s="3"/>
      <c r="D2" s="101" t="s">
        <v>1</v>
      </c>
      <c r="E2" s="64"/>
      <c r="F2" s="65"/>
      <c r="J2" s="3" t="s">
        <v>2</v>
      </c>
      <c r="M2" s="3"/>
    </row>
    <row r="3" spans="1:13" ht="46.5" customHeight="1">
      <c r="A3" s="3"/>
      <c r="B3" s="3"/>
      <c r="C3" s="3"/>
      <c r="D3" s="101" t="s">
        <v>3</v>
      </c>
      <c r="E3" s="64"/>
      <c r="F3" s="65"/>
      <c r="M3" s="3"/>
    </row>
    <row r="4" spans="1:13" ht="45" customHeight="1">
      <c r="A4" s="3"/>
      <c r="B4" s="3"/>
      <c r="C4" s="3"/>
      <c r="D4" s="102" t="s">
        <v>289</v>
      </c>
      <c r="E4" s="67"/>
      <c r="F4" s="65"/>
      <c r="M4" s="3"/>
    </row>
    <row r="5" spans="1:13" ht="47.25" customHeight="1">
      <c r="A5" s="3"/>
      <c r="B5" s="3"/>
      <c r="C5" s="3"/>
      <c r="D5" s="62"/>
      <c r="E5" s="61"/>
      <c r="F5" s="59"/>
      <c r="M5" s="3"/>
    </row>
    <row r="6" spans="1:6" ht="41.25" customHeight="1">
      <c r="A6" s="3"/>
      <c r="B6" s="3"/>
      <c r="C6" s="3"/>
      <c r="D6" s="3"/>
      <c r="E6" s="3"/>
      <c r="F6" s="3"/>
    </row>
    <row r="7" spans="1:6" ht="49.5">
      <c r="A7" s="198" t="s">
        <v>128</v>
      </c>
      <c r="B7" s="198"/>
      <c r="C7" s="198"/>
      <c r="D7" s="198"/>
      <c r="E7" s="198"/>
      <c r="F7" s="198"/>
    </row>
    <row r="8" spans="1:6" ht="44.25" customHeight="1">
      <c r="A8" s="3"/>
      <c r="B8" s="3"/>
      <c r="C8" s="3"/>
      <c r="D8" s="3"/>
      <c r="E8" s="3"/>
      <c r="F8" s="4" t="s">
        <v>4</v>
      </c>
    </row>
    <row r="9" spans="1:9" ht="42.75" customHeight="1">
      <c r="A9" s="199" t="s">
        <v>5</v>
      </c>
      <c r="B9" s="200" t="s">
        <v>6</v>
      </c>
      <c r="C9" s="200" t="s">
        <v>7</v>
      </c>
      <c r="D9" s="200" t="s">
        <v>8</v>
      </c>
      <c r="E9" s="200" t="s">
        <v>9</v>
      </c>
      <c r="F9" s="200"/>
      <c r="G9" s="7"/>
      <c r="H9" s="7"/>
      <c r="I9" s="7"/>
    </row>
    <row r="10" spans="1:6" ht="100.5" customHeight="1">
      <c r="A10" s="199"/>
      <c r="B10" s="200"/>
      <c r="C10" s="200"/>
      <c r="D10" s="200"/>
      <c r="E10" s="5" t="s">
        <v>7</v>
      </c>
      <c r="F10" s="6" t="s">
        <v>10</v>
      </c>
    </row>
    <row r="11" spans="1:6" s="10" customFormat="1" ht="26.25" customHeight="1">
      <c r="A11" s="8">
        <v>1</v>
      </c>
      <c r="B11" s="9">
        <v>2</v>
      </c>
      <c r="C11" s="9" t="s">
        <v>11</v>
      </c>
      <c r="D11" s="9">
        <v>4</v>
      </c>
      <c r="E11" s="8">
        <v>5</v>
      </c>
      <c r="F11" s="9">
        <v>6</v>
      </c>
    </row>
    <row r="12" spans="1:6" ht="57" customHeight="1">
      <c r="A12" s="5">
        <v>10000000</v>
      </c>
      <c r="B12" s="11" t="s">
        <v>12</v>
      </c>
      <c r="C12" s="72">
        <f>D12+E12</f>
        <v>11139363</v>
      </c>
      <c r="D12" s="72">
        <f>D13</f>
        <v>11139363</v>
      </c>
      <c r="E12" s="72">
        <f>E13</f>
        <v>0</v>
      </c>
      <c r="F12" s="72">
        <f>F13</f>
        <v>0</v>
      </c>
    </row>
    <row r="13" spans="1:6" ht="56.25" customHeight="1">
      <c r="A13" s="5">
        <v>18000000</v>
      </c>
      <c r="B13" s="11" t="s">
        <v>13</v>
      </c>
      <c r="C13" s="72">
        <f>D13+E13</f>
        <v>11139363</v>
      </c>
      <c r="D13" s="72">
        <f>D14+D23+D25</f>
        <v>11139363</v>
      </c>
      <c r="E13" s="72">
        <v>0</v>
      </c>
      <c r="F13" s="72">
        <v>0</v>
      </c>
    </row>
    <row r="14" spans="1:6" ht="54" customHeight="1">
      <c r="A14" s="5">
        <v>18010000</v>
      </c>
      <c r="B14" s="11" t="s">
        <v>14</v>
      </c>
      <c r="C14" s="72">
        <f>D14+E14</f>
        <v>10729860</v>
      </c>
      <c r="D14" s="72">
        <f>D15+D16+D17+D18+D19+D20+D21+D22</f>
        <v>10729860</v>
      </c>
      <c r="E14" s="72">
        <v>0</v>
      </c>
      <c r="F14" s="72">
        <v>0</v>
      </c>
    </row>
    <row r="15" spans="1:6" ht="99.75" customHeight="1">
      <c r="A15" s="8">
        <v>18010100</v>
      </c>
      <c r="B15" s="12" t="s">
        <v>15</v>
      </c>
      <c r="C15" s="73">
        <f>D15</f>
        <v>79848</v>
      </c>
      <c r="D15" s="73">
        <f>60800+19048</f>
        <v>79848</v>
      </c>
      <c r="E15" s="73">
        <v>0</v>
      </c>
      <c r="F15" s="73">
        <v>0</v>
      </c>
    </row>
    <row r="16" spans="1:6" ht="101.25" customHeight="1">
      <c r="A16" s="8">
        <v>18010200</v>
      </c>
      <c r="B16" s="12" t="s">
        <v>16</v>
      </c>
      <c r="C16" s="73">
        <f>D16</f>
        <v>315212</v>
      </c>
      <c r="D16" s="73">
        <f>304000+11212</f>
        <v>315212</v>
      </c>
      <c r="E16" s="73">
        <v>0</v>
      </c>
      <c r="F16" s="73">
        <v>0</v>
      </c>
    </row>
    <row r="17" spans="1:6" ht="101.25" customHeight="1">
      <c r="A17" s="8">
        <v>18010300</v>
      </c>
      <c r="B17" s="12" t="s">
        <v>17</v>
      </c>
      <c r="C17" s="73">
        <f>D17</f>
        <v>387464</v>
      </c>
      <c r="D17" s="74">
        <f>214400+173064</f>
        <v>387464</v>
      </c>
      <c r="E17" s="73">
        <v>0</v>
      </c>
      <c r="F17" s="73">
        <v>0</v>
      </c>
    </row>
    <row r="18" spans="1:6" ht="101.25" customHeight="1">
      <c r="A18" s="8">
        <v>18010400</v>
      </c>
      <c r="B18" s="12" t="s">
        <v>18</v>
      </c>
      <c r="C18" s="73">
        <f>D18</f>
        <v>2888800</v>
      </c>
      <c r="D18" s="73">
        <f>3148800-260000</f>
        <v>2888800</v>
      </c>
      <c r="E18" s="73">
        <v>0</v>
      </c>
      <c r="F18" s="73">
        <v>0</v>
      </c>
    </row>
    <row r="19" spans="1:6" ht="54" customHeight="1">
      <c r="A19" s="8">
        <v>18010500</v>
      </c>
      <c r="B19" s="12" t="s">
        <v>19</v>
      </c>
      <c r="C19" s="73">
        <f aca="true" t="shared" si="0" ref="C19:C24">D19+E19</f>
        <v>1139323</v>
      </c>
      <c r="D19" s="73">
        <f>1234300-94977</f>
        <v>1139323</v>
      </c>
      <c r="E19" s="73">
        <v>0</v>
      </c>
      <c r="F19" s="73">
        <v>0</v>
      </c>
    </row>
    <row r="20" spans="1:6" ht="51" customHeight="1">
      <c r="A20" s="8">
        <v>18010600</v>
      </c>
      <c r="B20" s="12" t="s">
        <v>20</v>
      </c>
      <c r="C20" s="73">
        <f t="shared" si="0"/>
        <v>4991068</v>
      </c>
      <c r="D20" s="73">
        <f>4901400+89668</f>
        <v>4991068</v>
      </c>
      <c r="E20" s="73">
        <v>0</v>
      </c>
      <c r="F20" s="73">
        <v>0</v>
      </c>
    </row>
    <row r="21" spans="1:6" ht="54.75" customHeight="1">
      <c r="A21" s="8">
        <v>18010700</v>
      </c>
      <c r="B21" s="12" t="s">
        <v>21</v>
      </c>
      <c r="C21" s="73">
        <f t="shared" si="0"/>
        <v>171674</v>
      </c>
      <c r="D21" s="73">
        <f>196600-24926</f>
        <v>171674</v>
      </c>
      <c r="E21" s="73">
        <v>0</v>
      </c>
      <c r="F21" s="73">
        <v>0</v>
      </c>
    </row>
    <row r="22" spans="1:6" ht="53.25" customHeight="1">
      <c r="A22" s="8">
        <v>18010900</v>
      </c>
      <c r="B22" s="12" t="s">
        <v>22</v>
      </c>
      <c r="C22" s="73">
        <f t="shared" si="0"/>
        <v>756471</v>
      </c>
      <c r="D22" s="73">
        <f>663900+92571</f>
        <v>756471</v>
      </c>
      <c r="E22" s="73">
        <v>0</v>
      </c>
      <c r="F22" s="73">
        <v>0</v>
      </c>
    </row>
    <row r="23" spans="1:6" ht="50.25" customHeight="1">
      <c r="A23" s="5">
        <v>18020000</v>
      </c>
      <c r="B23" s="11" t="s">
        <v>23</v>
      </c>
      <c r="C23" s="72">
        <f t="shared" si="0"/>
        <v>400155</v>
      </c>
      <c r="D23" s="72">
        <f>D24</f>
        <v>400155</v>
      </c>
      <c r="E23" s="72">
        <f>E24</f>
        <v>0</v>
      </c>
      <c r="F23" s="72">
        <f>F24</f>
        <v>0</v>
      </c>
    </row>
    <row r="24" spans="1:6" ht="71.25" customHeight="1">
      <c r="A24" s="8">
        <v>18020100</v>
      </c>
      <c r="B24" s="12" t="s">
        <v>24</v>
      </c>
      <c r="C24" s="73">
        <f t="shared" si="0"/>
        <v>400155</v>
      </c>
      <c r="D24" s="73">
        <f>573400-173245</f>
        <v>400155</v>
      </c>
      <c r="E24" s="73">
        <v>0</v>
      </c>
      <c r="F24" s="73">
        <v>0</v>
      </c>
    </row>
    <row r="25" spans="1:6" s="13" customFormat="1" ht="57.75" customHeight="1">
      <c r="A25" s="5">
        <v>18030000</v>
      </c>
      <c r="B25" s="11" t="s">
        <v>25</v>
      </c>
      <c r="C25" s="72">
        <f>C26</f>
        <v>9348</v>
      </c>
      <c r="D25" s="72">
        <f>D26</f>
        <v>9348</v>
      </c>
      <c r="E25" s="72">
        <f>E26</f>
        <v>0</v>
      </c>
      <c r="F25" s="72">
        <f>F26</f>
        <v>0</v>
      </c>
    </row>
    <row r="26" spans="1:6" ht="56.25" customHeight="1">
      <c r="A26" s="8">
        <v>18030100</v>
      </c>
      <c r="B26" s="12" t="s">
        <v>26</v>
      </c>
      <c r="C26" s="73">
        <f>D26+E26</f>
        <v>9348</v>
      </c>
      <c r="D26" s="73">
        <f>3000+6348</f>
        <v>9348</v>
      </c>
      <c r="E26" s="73">
        <v>0</v>
      </c>
      <c r="F26" s="73">
        <v>0</v>
      </c>
    </row>
    <row r="27" spans="1:6" ht="53.25" customHeight="1">
      <c r="A27" s="5">
        <v>20000000</v>
      </c>
      <c r="B27" s="11" t="s">
        <v>27</v>
      </c>
      <c r="C27" s="72">
        <f>D27+E27</f>
        <v>955470</v>
      </c>
      <c r="D27" s="72">
        <f>D28+D31</f>
        <v>317237</v>
      </c>
      <c r="E27" s="72">
        <f>E34</f>
        <v>638233</v>
      </c>
      <c r="F27" s="72">
        <v>0</v>
      </c>
    </row>
    <row r="28" spans="1:6" ht="50.25" customHeight="1">
      <c r="A28" s="5">
        <v>21000000</v>
      </c>
      <c r="B28" s="11" t="s">
        <v>28</v>
      </c>
      <c r="C28" s="72">
        <f>D28+E28</f>
        <v>150290</v>
      </c>
      <c r="D28" s="72">
        <f>D29</f>
        <v>150290</v>
      </c>
      <c r="E28" s="72">
        <v>0</v>
      </c>
      <c r="F28" s="72">
        <v>0</v>
      </c>
    </row>
    <row r="29" spans="1:6" ht="51.75" customHeight="1">
      <c r="A29" s="5">
        <v>21080000</v>
      </c>
      <c r="B29" s="11" t="s">
        <v>29</v>
      </c>
      <c r="C29" s="72">
        <f>D29+E29</f>
        <v>150290</v>
      </c>
      <c r="D29" s="72">
        <f>D30</f>
        <v>150290</v>
      </c>
      <c r="E29" s="73">
        <v>0</v>
      </c>
      <c r="F29" s="73">
        <v>0</v>
      </c>
    </row>
    <row r="30" spans="1:6" ht="56.25" customHeight="1">
      <c r="A30" s="8">
        <v>21081100</v>
      </c>
      <c r="B30" s="12" t="s">
        <v>30</v>
      </c>
      <c r="C30" s="73">
        <f>D30+E30</f>
        <v>150290</v>
      </c>
      <c r="D30" s="73">
        <f>25000+125290</f>
        <v>150290</v>
      </c>
      <c r="E30" s="73">
        <v>0</v>
      </c>
      <c r="F30" s="73">
        <v>0</v>
      </c>
    </row>
    <row r="31" spans="1:6" ht="72.75" customHeight="1">
      <c r="A31" s="5">
        <v>22000000</v>
      </c>
      <c r="B31" s="11" t="s">
        <v>31</v>
      </c>
      <c r="C31" s="72">
        <f>C32</f>
        <v>166947</v>
      </c>
      <c r="D31" s="72">
        <f>D32</f>
        <v>166947</v>
      </c>
      <c r="E31" s="72">
        <f>E32</f>
        <v>0</v>
      </c>
      <c r="F31" s="72">
        <f>F32</f>
        <v>0</v>
      </c>
    </row>
    <row r="32" spans="1:6" ht="51.75" customHeight="1">
      <c r="A32" s="5">
        <v>22010000</v>
      </c>
      <c r="B32" s="11" t="s">
        <v>32</v>
      </c>
      <c r="C32" s="72">
        <f aca="true" t="shared" si="1" ref="C32:C52">D32+E32</f>
        <v>166947</v>
      </c>
      <c r="D32" s="72">
        <f>D33</f>
        <v>166947</v>
      </c>
      <c r="E32" s="73">
        <v>0</v>
      </c>
      <c r="F32" s="73">
        <v>0</v>
      </c>
    </row>
    <row r="33" spans="1:6" ht="59.25" customHeight="1">
      <c r="A33" s="8">
        <v>22012500</v>
      </c>
      <c r="B33" s="12" t="s">
        <v>33</v>
      </c>
      <c r="C33" s="73">
        <f t="shared" si="1"/>
        <v>166947</v>
      </c>
      <c r="D33" s="73">
        <f>131000+35947</f>
        <v>166947</v>
      </c>
      <c r="E33" s="73">
        <v>0</v>
      </c>
      <c r="F33" s="73">
        <v>0</v>
      </c>
    </row>
    <row r="34" spans="1:6" ht="53.25" customHeight="1">
      <c r="A34" s="5">
        <v>25000000</v>
      </c>
      <c r="B34" s="11" t="s">
        <v>34</v>
      </c>
      <c r="C34" s="72">
        <f t="shared" si="1"/>
        <v>638233</v>
      </c>
      <c r="D34" s="72">
        <f>D35</f>
        <v>0</v>
      </c>
      <c r="E34" s="72">
        <f>E35</f>
        <v>638233</v>
      </c>
      <c r="F34" s="72">
        <v>0</v>
      </c>
    </row>
    <row r="35" spans="1:6" ht="75.75" customHeight="1">
      <c r="A35" s="5">
        <v>25010000</v>
      </c>
      <c r="B35" s="14" t="s">
        <v>35</v>
      </c>
      <c r="C35" s="72">
        <f t="shared" si="1"/>
        <v>638233</v>
      </c>
      <c r="D35" s="72">
        <f>D36+D37</f>
        <v>0</v>
      </c>
      <c r="E35" s="72">
        <f>E36+E37</f>
        <v>638233</v>
      </c>
      <c r="F35" s="72">
        <v>0</v>
      </c>
    </row>
    <row r="36" spans="1:6" ht="69" customHeight="1">
      <c r="A36" s="8">
        <v>25010100</v>
      </c>
      <c r="B36" s="15" t="s">
        <v>36</v>
      </c>
      <c r="C36" s="73">
        <f t="shared" si="1"/>
        <v>605455</v>
      </c>
      <c r="D36" s="73">
        <v>0</v>
      </c>
      <c r="E36" s="73">
        <v>605455</v>
      </c>
      <c r="F36" s="73">
        <v>0</v>
      </c>
    </row>
    <row r="37" spans="1:6" ht="57" customHeight="1">
      <c r="A37" s="148">
        <v>25010300</v>
      </c>
      <c r="B37" s="163" t="s">
        <v>37</v>
      </c>
      <c r="C37" s="164">
        <f t="shared" si="1"/>
        <v>32778</v>
      </c>
      <c r="D37" s="164">
        <v>0</v>
      </c>
      <c r="E37" s="164">
        <v>32778</v>
      </c>
      <c r="F37" s="164">
        <v>0</v>
      </c>
    </row>
    <row r="38" spans="1:6" ht="57" customHeight="1">
      <c r="A38" s="68"/>
      <c r="B38" s="96" t="s">
        <v>38</v>
      </c>
      <c r="C38" s="97">
        <f t="shared" si="1"/>
        <v>12094833</v>
      </c>
      <c r="D38" s="97">
        <f>D12+D27</f>
        <v>11456600</v>
      </c>
      <c r="E38" s="97">
        <f>E12+E27</f>
        <v>638233</v>
      </c>
      <c r="F38" s="97">
        <f>F12+F27</f>
        <v>0</v>
      </c>
    </row>
    <row r="39" spans="1:6" ht="61.5" customHeight="1">
      <c r="A39" s="100">
        <v>40000000</v>
      </c>
      <c r="B39" s="96" t="s">
        <v>39</v>
      </c>
      <c r="C39" s="97">
        <f t="shared" si="1"/>
        <v>276847944.89</v>
      </c>
      <c r="D39" s="97">
        <f>D40</f>
        <v>276440498.89</v>
      </c>
      <c r="E39" s="97">
        <f>E40</f>
        <v>407446</v>
      </c>
      <c r="F39" s="97">
        <f>F40</f>
        <v>407446</v>
      </c>
    </row>
    <row r="40" spans="1:6" ht="59.25" customHeight="1">
      <c r="A40" s="100">
        <v>41000000</v>
      </c>
      <c r="B40" s="96" t="s">
        <v>40</v>
      </c>
      <c r="C40" s="97">
        <f t="shared" si="1"/>
        <v>276847944.89</v>
      </c>
      <c r="D40" s="97">
        <f>D41+D43</f>
        <v>276440498.89</v>
      </c>
      <c r="E40" s="97">
        <f>E41+E43</f>
        <v>407446</v>
      </c>
      <c r="F40" s="97">
        <f>F41+F43</f>
        <v>407446</v>
      </c>
    </row>
    <row r="41" spans="1:6" ht="50.25" customHeight="1">
      <c r="A41" s="100">
        <v>41040000</v>
      </c>
      <c r="B41" s="96" t="s">
        <v>220</v>
      </c>
      <c r="C41" s="97">
        <f t="shared" si="1"/>
        <v>28127810</v>
      </c>
      <c r="D41" s="97">
        <f>D42</f>
        <v>28127810</v>
      </c>
      <c r="E41" s="97">
        <f>E42</f>
        <v>0</v>
      </c>
      <c r="F41" s="97">
        <f>F42</f>
        <v>0</v>
      </c>
    </row>
    <row r="42" spans="1:6" ht="54" customHeight="1">
      <c r="A42" s="68">
        <v>41040400</v>
      </c>
      <c r="B42" s="98" t="s">
        <v>198</v>
      </c>
      <c r="C42" s="99">
        <f t="shared" si="1"/>
        <v>28127810</v>
      </c>
      <c r="D42" s="99">
        <f>27402400+5500+18210+1000+218600+200000+282100</f>
        <v>28127810</v>
      </c>
      <c r="E42" s="99">
        <v>0</v>
      </c>
      <c r="F42" s="99">
        <v>0</v>
      </c>
    </row>
    <row r="43" spans="1:6" ht="49.5" customHeight="1">
      <c r="A43" s="100">
        <v>41050000</v>
      </c>
      <c r="B43" s="96" t="s">
        <v>199</v>
      </c>
      <c r="C43" s="97">
        <f>D43+E43</f>
        <v>248720134.89</v>
      </c>
      <c r="D43" s="97">
        <f>D44+D45+D46+D47+D49+D53+D48</f>
        <v>248312688.89</v>
      </c>
      <c r="E43" s="97">
        <f>E44+E45+E46+E47+E49</f>
        <v>407446</v>
      </c>
      <c r="F43" s="97">
        <f>F49</f>
        <v>407446</v>
      </c>
    </row>
    <row r="44" spans="1:6" ht="232.5" customHeight="1">
      <c r="A44" s="68">
        <v>41050100</v>
      </c>
      <c r="B44" s="75" t="s">
        <v>200</v>
      </c>
      <c r="C44" s="99">
        <f>D44+E44</f>
        <v>151921614.51</v>
      </c>
      <c r="D44" s="99">
        <f>129913900+10000000+1400000+13159118-2551403.49</f>
        <v>151921614.51</v>
      </c>
      <c r="E44" s="99">
        <v>0</v>
      </c>
      <c r="F44" s="99">
        <v>0</v>
      </c>
    </row>
    <row r="45" spans="1:6" ht="145.5" customHeight="1">
      <c r="A45" s="68">
        <v>41050200</v>
      </c>
      <c r="B45" s="75" t="s">
        <v>202</v>
      </c>
      <c r="C45" s="99">
        <f>D45+E45</f>
        <v>993381.38</v>
      </c>
      <c r="D45" s="99">
        <f>1052100-3291.53-38972-16491.87-17000-12817.24+29854.02</f>
        <v>993381.38</v>
      </c>
      <c r="E45" s="99">
        <v>0</v>
      </c>
      <c r="F45" s="99">
        <v>0</v>
      </c>
    </row>
    <row r="46" spans="1:6" s="149" customFormat="1" ht="357" customHeight="1">
      <c r="A46" s="150">
        <v>41050300</v>
      </c>
      <c r="B46" s="151" t="s">
        <v>226</v>
      </c>
      <c r="C46" s="152">
        <f t="shared" si="1"/>
        <v>91547600</v>
      </c>
      <c r="D46" s="152">
        <f>103277200+3985000-2247600+940900-13553600-854300</f>
        <v>91547600</v>
      </c>
      <c r="E46" s="152">
        <v>0</v>
      </c>
      <c r="F46" s="152">
        <v>0</v>
      </c>
    </row>
    <row r="47" spans="1:6" s="149" customFormat="1" ht="303" customHeight="1">
      <c r="A47" s="68">
        <v>41050700</v>
      </c>
      <c r="B47" s="75" t="s">
        <v>227</v>
      </c>
      <c r="C47" s="99">
        <f>D47+E47</f>
        <v>924224</v>
      </c>
      <c r="D47" s="99">
        <f>1209950-285726</f>
        <v>924224</v>
      </c>
      <c r="E47" s="99">
        <v>0</v>
      </c>
      <c r="F47" s="99">
        <v>0</v>
      </c>
    </row>
    <row r="48" spans="1:6" s="149" customFormat="1" ht="106.5" customHeight="1">
      <c r="A48" s="68">
        <v>41052300</v>
      </c>
      <c r="B48" s="75" t="s">
        <v>269</v>
      </c>
      <c r="C48" s="99">
        <f>D48+E48</f>
        <v>2000000</v>
      </c>
      <c r="D48" s="99">
        <v>2000000</v>
      </c>
      <c r="E48" s="99">
        <v>0</v>
      </c>
      <c r="F48" s="99">
        <v>0</v>
      </c>
    </row>
    <row r="49" spans="1:6" ht="54" customHeight="1">
      <c r="A49" s="68">
        <v>41053900</v>
      </c>
      <c r="B49" s="103" t="s">
        <v>201</v>
      </c>
      <c r="C49" s="99">
        <f>D49+E49</f>
        <v>644374</v>
      </c>
      <c r="D49" s="99">
        <f>D50+D51+D52</f>
        <v>236928</v>
      </c>
      <c r="E49" s="99">
        <f>E50+E51+E52</f>
        <v>407446</v>
      </c>
      <c r="F49" s="99">
        <f>F50+F51+F52</f>
        <v>407446</v>
      </c>
    </row>
    <row r="50" spans="1:6" ht="78" customHeight="1">
      <c r="A50" s="68"/>
      <c r="B50" s="60" t="s">
        <v>203</v>
      </c>
      <c r="C50" s="99">
        <f t="shared" si="1"/>
        <v>94374</v>
      </c>
      <c r="D50" s="99">
        <v>56928</v>
      </c>
      <c r="E50" s="99">
        <f>37446</f>
        <v>37446</v>
      </c>
      <c r="F50" s="99">
        <v>37446</v>
      </c>
    </row>
    <row r="51" spans="1:6" ht="105" customHeight="1">
      <c r="A51" s="68"/>
      <c r="B51" s="60" t="s">
        <v>259</v>
      </c>
      <c r="C51" s="99">
        <f t="shared" si="1"/>
        <v>50000</v>
      </c>
      <c r="D51" s="99">
        <v>50000</v>
      </c>
      <c r="E51" s="99">
        <v>0</v>
      </c>
      <c r="F51" s="99">
        <v>0</v>
      </c>
    </row>
    <row r="52" spans="1:6" ht="159" customHeight="1">
      <c r="A52" s="68"/>
      <c r="B52" s="60" t="s">
        <v>282</v>
      </c>
      <c r="C52" s="99">
        <f t="shared" si="1"/>
        <v>500000</v>
      </c>
      <c r="D52" s="99">
        <v>130000</v>
      </c>
      <c r="E52" s="99">
        <v>370000</v>
      </c>
      <c r="F52" s="99">
        <v>370000</v>
      </c>
    </row>
    <row r="53" spans="1:6" ht="133.5" customHeight="1">
      <c r="A53" s="68">
        <v>41054100</v>
      </c>
      <c r="B53" s="60" t="s">
        <v>251</v>
      </c>
      <c r="C53" s="99">
        <f>D53+E53</f>
        <v>688941</v>
      </c>
      <c r="D53" s="99">
        <f>61000+607000+20941</f>
        <v>688941</v>
      </c>
      <c r="E53" s="99">
        <v>0</v>
      </c>
      <c r="F53" s="99">
        <v>0</v>
      </c>
    </row>
    <row r="54" spans="1:6" ht="60.75" customHeight="1">
      <c r="A54" s="68"/>
      <c r="B54" s="96" t="s">
        <v>41</v>
      </c>
      <c r="C54" s="97">
        <f>D54+E54</f>
        <v>288942777.89</v>
      </c>
      <c r="D54" s="97">
        <f>D38+D39</f>
        <v>287897098.89</v>
      </c>
      <c r="E54" s="97">
        <f>E38+E39</f>
        <v>1045679</v>
      </c>
      <c r="F54" s="97">
        <f>F49</f>
        <v>407446</v>
      </c>
    </row>
    <row r="55" spans="1:6" ht="16.5">
      <c r="A55" s="17"/>
      <c r="B55" s="18"/>
      <c r="C55" s="18"/>
      <c r="D55" s="19"/>
      <c r="E55" s="19"/>
      <c r="F55" s="19"/>
    </row>
    <row r="56" spans="1:6" ht="16.5">
      <c r="A56" s="17"/>
      <c r="B56" s="20"/>
      <c r="C56" s="20"/>
      <c r="D56" s="19"/>
      <c r="E56" s="19"/>
      <c r="F56" s="19"/>
    </row>
    <row r="57" spans="1:6" ht="19.5">
      <c r="A57" s="21"/>
      <c r="B57" s="21"/>
      <c r="C57" s="21"/>
      <c r="D57" s="21"/>
      <c r="E57" s="21"/>
      <c r="F57" s="21"/>
    </row>
    <row r="58" spans="3:4" s="22" customFormat="1" ht="27.75">
      <c r="C58" s="23"/>
      <c r="D58" s="23"/>
    </row>
    <row r="59" ht="19.5">
      <c r="A59" s="21"/>
    </row>
    <row r="65" spans="1:5" s="106" customFormat="1" ht="49.5">
      <c r="A65" s="105"/>
      <c r="C65" s="107"/>
      <c r="E65" s="108"/>
    </row>
  </sheetData>
  <sheetProtection selectLockedCells="1" selectUnlockedCells="1"/>
  <mergeCells count="6">
    <mergeCell ref="A7:F7"/>
    <mergeCell ref="A9:A10"/>
    <mergeCell ref="B9:B10"/>
    <mergeCell ref="C9:C10"/>
    <mergeCell ref="D9:D10"/>
    <mergeCell ref="E9:F9"/>
  </mergeCells>
  <printOptions/>
  <pageMargins left="0.8402777777777778" right="0.25" top="0.88" bottom="0.4201388888888889" header="0.5118055555555555" footer="0.5118055555555555"/>
  <pageSetup horizontalDpi="300" verticalDpi="300" orientation="portrait" paperSize="9" scale="33" r:id="rId1"/>
  <rowBreaks count="1" manualBreakCount="1">
    <brk id="3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view="pageBreakPreview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15.7109375" style="24" customWidth="1"/>
    <col min="2" max="2" width="72.00390625" style="24" customWidth="1"/>
    <col min="3" max="3" width="20.28125" style="24" customWidth="1"/>
    <col min="4" max="4" width="20.7109375" style="24" customWidth="1"/>
    <col min="5" max="5" width="19.7109375" style="24" customWidth="1"/>
    <col min="6" max="6" width="19.140625" style="24" customWidth="1"/>
    <col min="7" max="16384" width="9.140625" style="24" customWidth="1"/>
  </cols>
  <sheetData>
    <row r="1" spans="5:13" ht="20.25">
      <c r="E1" s="70" t="s">
        <v>124</v>
      </c>
      <c r="F1" s="71"/>
      <c r="G1" s="25"/>
      <c r="H1" s="26"/>
      <c r="I1" s="26"/>
      <c r="J1" s="26"/>
      <c r="K1" s="26"/>
      <c r="L1" s="27"/>
      <c r="M1" s="27"/>
    </row>
    <row r="2" spans="5:13" ht="20.25">
      <c r="E2" s="70" t="s">
        <v>1</v>
      </c>
      <c r="F2" s="71"/>
      <c r="G2" s="25"/>
      <c r="H2" s="26"/>
      <c r="I2" s="26"/>
      <c r="J2" s="26"/>
      <c r="K2" s="26"/>
      <c r="L2" s="27"/>
      <c r="M2" s="27"/>
    </row>
    <row r="3" spans="5:13" ht="20.25">
      <c r="E3" s="70" t="s">
        <v>3</v>
      </c>
      <c r="F3" s="71"/>
      <c r="G3" s="25"/>
      <c r="H3" s="26"/>
      <c r="I3" s="26"/>
      <c r="J3" s="26"/>
      <c r="K3" s="26"/>
      <c r="L3" s="27"/>
      <c r="M3" s="27"/>
    </row>
    <row r="4" spans="5:13" ht="20.25">
      <c r="E4" s="69" t="s">
        <v>290</v>
      </c>
      <c r="F4" s="71"/>
      <c r="G4" s="25"/>
      <c r="H4" s="26"/>
      <c r="I4" s="26"/>
      <c r="J4" s="26"/>
      <c r="K4" s="26"/>
      <c r="L4" s="27"/>
      <c r="M4" s="27"/>
    </row>
    <row r="5" ht="18.75">
      <c r="F5" s="28"/>
    </row>
    <row r="8" spans="1:10" ht="23.25">
      <c r="A8" s="201" t="s">
        <v>129</v>
      </c>
      <c r="B8" s="201"/>
      <c r="C8" s="201"/>
      <c r="D8" s="201"/>
      <c r="E8" s="201"/>
      <c r="F8" s="201"/>
      <c r="G8" s="201"/>
      <c r="J8" s="24" t="s">
        <v>42</v>
      </c>
    </row>
    <row r="9" spans="1:7" ht="18.75">
      <c r="A9" s="28"/>
      <c r="B9" s="28"/>
      <c r="C9" s="28"/>
      <c r="D9" s="28"/>
      <c r="E9" s="28"/>
      <c r="F9" s="29" t="s">
        <v>4</v>
      </c>
      <c r="G9" s="28"/>
    </row>
    <row r="10" spans="1:12" ht="24.75" customHeight="1">
      <c r="A10" s="202" t="s">
        <v>5</v>
      </c>
      <c r="B10" s="203" t="s">
        <v>43</v>
      </c>
      <c r="C10" s="202" t="s">
        <v>7</v>
      </c>
      <c r="D10" s="203" t="s">
        <v>8</v>
      </c>
      <c r="E10" s="204" t="s">
        <v>9</v>
      </c>
      <c r="F10" s="205"/>
      <c r="G10" s="31"/>
      <c r="H10" s="32"/>
      <c r="I10" s="32"/>
      <c r="J10" s="32"/>
      <c r="K10" s="32"/>
      <c r="L10" s="32"/>
    </row>
    <row r="11" spans="1:12" ht="41.25" customHeight="1">
      <c r="A11" s="202"/>
      <c r="B11" s="203"/>
      <c r="C11" s="202"/>
      <c r="D11" s="203"/>
      <c r="E11" s="30" t="s">
        <v>7</v>
      </c>
      <c r="F11" s="30" t="s">
        <v>44</v>
      </c>
      <c r="G11" s="31"/>
      <c r="H11" s="32"/>
      <c r="I11" s="32"/>
      <c r="J11" s="32"/>
      <c r="K11" s="32"/>
      <c r="L11" s="32"/>
    </row>
    <row r="12" spans="1:12" ht="23.25" customHeight="1">
      <c r="A12" s="33"/>
      <c r="B12" s="34" t="s">
        <v>45</v>
      </c>
      <c r="C12" s="33"/>
      <c r="D12" s="33"/>
      <c r="E12" s="33"/>
      <c r="F12" s="33"/>
      <c r="G12" s="31"/>
      <c r="H12" s="32"/>
      <c r="I12" s="32"/>
      <c r="J12" s="32"/>
      <c r="K12" s="32"/>
      <c r="L12" s="32"/>
    </row>
    <row r="13" spans="1:12" ht="24" customHeight="1">
      <c r="A13" s="30">
        <v>200000</v>
      </c>
      <c r="B13" s="34" t="s">
        <v>46</v>
      </c>
      <c r="C13" s="180">
        <f>D13+F13</f>
        <v>523000</v>
      </c>
      <c r="D13" s="180">
        <f>SUM(D15-D16+D17)</f>
        <v>-2967571</v>
      </c>
      <c r="E13" s="180">
        <f>SUM(E17)</f>
        <v>3490571</v>
      </c>
      <c r="F13" s="180">
        <f>SUM(F17)</f>
        <v>3490571</v>
      </c>
      <c r="G13" s="31"/>
      <c r="H13" s="32"/>
      <c r="I13" s="32"/>
      <c r="J13" s="32"/>
      <c r="K13" s="32"/>
      <c r="L13" s="32"/>
    </row>
    <row r="14" spans="1:12" ht="33.75" customHeight="1">
      <c r="A14" s="33">
        <v>208000</v>
      </c>
      <c r="B14" s="35" t="s">
        <v>47</v>
      </c>
      <c r="C14" s="181">
        <f>D14+E14</f>
        <v>523000</v>
      </c>
      <c r="D14" s="181">
        <f>D15-D16+D17</f>
        <v>-2967571</v>
      </c>
      <c r="E14" s="181">
        <f>E15-E16+E17</f>
        <v>3490571</v>
      </c>
      <c r="F14" s="181">
        <f>SUM(E14)</f>
        <v>3490571</v>
      </c>
      <c r="G14" s="31"/>
      <c r="H14" s="32"/>
      <c r="I14" s="32"/>
      <c r="J14" s="32"/>
      <c r="K14" s="32"/>
      <c r="L14" s="32"/>
    </row>
    <row r="15" spans="1:12" ht="27.75" customHeight="1">
      <c r="A15" s="33">
        <v>208100</v>
      </c>
      <c r="B15" s="35" t="s">
        <v>48</v>
      </c>
      <c r="C15" s="181">
        <f>D15</f>
        <v>543002.16</v>
      </c>
      <c r="D15" s="182">
        <f>543002.16</f>
        <v>543002.16</v>
      </c>
      <c r="E15" s="181">
        <v>0</v>
      </c>
      <c r="F15" s="181">
        <v>0</v>
      </c>
      <c r="G15" s="31"/>
      <c r="H15" s="32"/>
      <c r="I15" s="32"/>
      <c r="J15" s="32"/>
      <c r="K15" s="32"/>
      <c r="L15" s="32"/>
    </row>
    <row r="16" spans="1:12" ht="27.75" customHeight="1">
      <c r="A16" s="33">
        <v>208200</v>
      </c>
      <c r="B16" s="35" t="s">
        <v>49</v>
      </c>
      <c r="C16" s="181">
        <f>D16</f>
        <v>20002.160000000033</v>
      </c>
      <c r="D16" s="181">
        <f>D15-242000-281000</f>
        <v>20002.160000000033</v>
      </c>
      <c r="E16" s="181">
        <v>0</v>
      </c>
      <c r="F16" s="181">
        <v>0</v>
      </c>
      <c r="G16" s="31"/>
      <c r="H16" s="32"/>
      <c r="I16" s="32"/>
      <c r="J16" s="32"/>
      <c r="K16" s="32"/>
      <c r="L16" s="32"/>
    </row>
    <row r="17" spans="1:12" ht="45.75" customHeight="1">
      <c r="A17" s="33">
        <v>208400</v>
      </c>
      <c r="B17" s="35" t="s">
        <v>246</v>
      </c>
      <c r="C17" s="181">
        <f>D17+F17</f>
        <v>0</v>
      </c>
      <c r="D17" s="182">
        <f>-63000-137500-2000-150000-625210-50000-73880-20941-1000-8500-2060000-34400-200000-50000-104456+8500-104550+186366</f>
        <v>-3490571</v>
      </c>
      <c r="E17" s="182">
        <f>63000+137500+2000+150000+625210+50000+73880+20941+1000+8500+2060000+34400+200000+50000+104456-8500+104550-186366</f>
        <v>3490571</v>
      </c>
      <c r="F17" s="181">
        <f>SUM(E17)</f>
        <v>3490571</v>
      </c>
      <c r="G17" s="31"/>
      <c r="H17" s="32"/>
      <c r="I17" s="32"/>
      <c r="J17" s="32"/>
      <c r="K17" s="32"/>
      <c r="L17" s="32"/>
    </row>
    <row r="18" spans="1:12" ht="32.25" customHeight="1">
      <c r="A18" s="30">
        <v>600000</v>
      </c>
      <c r="B18" s="34" t="s">
        <v>50</v>
      </c>
      <c r="C18" s="180">
        <f>D18+F18</f>
        <v>523000</v>
      </c>
      <c r="D18" s="180">
        <f>SUM(D20-D21+D22)</f>
        <v>-2967571</v>
      </c>
      <c r="E18" s="180">
        <f>SUM(E22)</f>
        <v>3490571</v>
      </c>
      <c r="F18" s="180">
        <f>SUM(F22)</f>
        <v>3490571</v>
      </c>
      <c r="G18" s="31"/>
      <c r="H18" s="32"/>
      <c r="I18" s="32"/>
      <c r="J18" s="32"/>
      <c r="K18" s="32"/>
      <c r="L18" s="32"/>
    </row>
    <row r="19" spans="1:12" ht="29.25" customHeight="1">
      <c r="A19" s="33">
        <v>602000</v>
      </c>
      <c r="B19" s="35" t="s">
        <v>51</v>
      </c>
      <c r="C19" s="181">
        <f>D19+F19</f>
        <v>523000</v>
      </c>
      <c r="D19" s="181">
        <f>SUM(D14)</f>
        <v>-2967571</v>
      </c>
      <c r="E19" s="181">
        <f>SUM(E14)</f>
        <v>3490571</v>
      </c>
      <c r="F19" s="181">
        <f>SUM(E19)</f>
        <v>3490571</v>
      </c>
      <c r="G19" s="31"/>
      <c r="H19" s="32"/>
      <c r="I19" s="32"/>
      <c r="J19" s="32"/>
      <c r="K19" s="32"/>
      <c r="L19" s="32"/>
    </row>
    <row r="20" spans="1:12" ht="31.5" customHeight="1">
      <c r="A20" s="33">
        <v>602100</v>
      </c>
      <c r="B20" s="35" t="s">
        <v>48</v>
      </c>
      <c r="C20" s="181">
        <f>D20</f>
        <v>543002.16</v>
      </c>
      <c r="D20" s="181">
        <f>D15</f>
        <v>543002.16</v>
      </c>
      <c r="E20" s="181">
        <v>0</v>
      </c>
      <c r="F20" s="181">
        <v>0</v>
      </c>
      <c r="G20" s="31"/>
      <c r="H20" s="32"/>
      <c r="I20" s="32"/>
      <c r="J20" s="32"/>
      <c r="K20" s="32"/>
      <c r="L20" s="32"/>
    </row>
    <row r="21" spans="1:12" ht="27.75" customHeight="1">
      <c r="A21" s="33">
        <v>602200</v>
      </c>
      <c r="B21" s="35" t="s">
        <v>52</v>
      </c>
      <c r="C21" s="181">
        <f>D21</f>
        <v>20002.160000000033</v>
      </c>
      <c r="D21" s="181">
        <f>SUM(D16)</f>
        <v>20002.160000000033</v>
      </c>
      <c r="E21" s="181">
        <v>0</v>
      </c>
      <c r="F21" s="181">
        <v>0</v>
      </c>
      <c r="G21" s="31"/>
      <c r="H21" s="32"/>
      <c r="I21" s="32"/>
      <c r="J21" s="32"/>
      <c r="K21" s="32"/>
      <c r="L21" s="32"/>
    </row>
    <row r="22" spans="1:12" ht="47.25" customHeight="1">
      <c r="A22" s="33">
        <v>602400</v>
      </c>
      <c r="B22" s="35" t="s">
        <v>246</v>
      </c>
      <c r="C22" s="181">
        <f>D22+F22</f>
        <v>0</v>
      </c>
      <c r="D22" s="181">
        <f>SUM(D17)</f>
        <v>-3490571</v>
      </c>
      <c r="E22" s="181">
        <f>SUM(F22)</f>
        <v>3490571</v>
      </c>
      <c r="F22" s="181">
        <f>SUM(F17)</f>
        <v>3490571</v>
      </c>
      <c r="G22" s="31"/>
      <c r="H22" s="32"/>
      <c r="I22" s="32"/>
      <c r="J22" s="32"/>
      <c r="K22" s="32"/>
      <c r="L22" s="32"/>
    </row>
    <row r="23" spans="1:12" ht="1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1:12" ht="1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</row>
    <row r="26" spans="1:12" ht="1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ht="1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</row>
    <row r="28" spans="1:12" ht="1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</row>
    <row r="29" spans="1:12" ht="1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</row>
  </sheetData>
  <sheetProtection selectLockedCells="1" selectUnlockedCells="1"/>
  <mergeCells count="6">
    <mergeCell ref="A8:G8"/>
    <mergeCell ref="A10:A11"/>
    <mergeCell ref="B10:B11"/>
    <mergeCell ref="C10:C11"/>
    <mergeCell ref="D10:D11"/>
    <mergeCell ref="E10:F10"/>
  </mergeCells>
  <printOptions/>
  <pageMargins left="0.8597222222222223" right="0.19652777777777777" top="0.6597222222222222" bottom="0.9840277777777777" header="0.5118055555555555" footer="0.5118055555555555"/>
  <pageSetup horizontalDpi="300" verticalDpi="300" orientation="landscape" paperSize="9" scale="80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P85"/>
  <sheetViews>
    <sheetView view="pageBreakPreview" zoomScale="50" zoomScaleNormal="50" zoomScaleSheetLayoutView="50" zoomScalePageLayoutView="0" workbookViewId="0" topLeftCell="E1">
      <selection activeCell="K4" sqref="K4"/>
    </sheetView>
  </sheetViews>
  <sheetFormatPr defaultColWidth="9.140625" defaultRowHeight="12.75"/>
  <cols>
    <col min="1" max="1" width="25.7109375" style="110" customWidth="1"/>
    <col min="2" max="2" width="29.28125" style="110" customWidth="1"/>
    <col min="3" max="3" width="27.00390625" style="110" customWidth="1"/>
    <col min="4" max="4" width="154.140625" style="110" customWidth="1"/>
    <col min="5" max="5" width="31.57421875" style="110" customWidth="1"/>
    <col min="6" max="6" width="31.00390625" style="110" customWidth="1"/>
    <col min="7" max="7" width="29.28125" style="110" customWidth="1"/>
    <col min="8" max="9" width="28.57421875" style="110" customWidth="1"/>
    <col min="10" max="10" width="30.7109375" style="110" customWidth="1"/>
    <col min="11" max="11" width="26.00390625" style="110" customWidth="1"/>
    <col min="12" max="13" width="26.140625" style="110" customWidth="1"/>
    <col min="14" max="14" width="27.8515625" style="110" customWidth="1"/>
    <col min="15" max="15" width="29.57421875" style="110" customWidth="1"/>
    <col min="16" max="16" width="33.7109375" style="110" customWidth="1"/>
    <col min="17" max="16384" width="9.140625" style="110" customWidth="1"/>
  </cols>
  <sheetData>
    <row r="1" spans="14:16" ht="64.5">
      <c r="N1" s="111" t="s">
        <v>111</v>
      </c>
      <c r="P1" s="112"/>
    </row>
    <row r="2" spans="14:16" ht="60" customHeight="1">
      <c r="N2" s="111" t="s">
        <v>1</v>
      </c>
      <c r="P2" s="112"/>
    </row>
    <row r="3" spans="14:16" ht="64.5">
      <c r="N3" s="111" t="s">
        <v>3</v>
      </c>
      <c r="P3" s="112"/>
    </row>
    <row r="4" spans="14:16" ht="64.5">
      <c r="N4" s="113" t="s">
        <v>291</v>
      </c>
      <c r="P4" s="112"/>
    </row>
    <row r="5" ht="40.5" customHeight="1">
      <c r="P5" s="114"/>
    </row>
    <row r="6" spans="2:16" ht="52.5" customHeight="1">
      <c r="B6" s="206" t="s">
        <v>130</v>
      </c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</row>
    <row r="7" spans="2:16" ht="27" customHeight="1"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 t="s">
        <v>4</v>
      </c>
    </row>
    <row r="8" spans="1:16" s="118" customFormat="1" ht="58.5" customHeight="1">
      <c r="A8" s="207" t="s">
        <v>53</v>
      </c>
      <c r="B8" s="208" t="s">
        <v>54</v>
      </c>
      <c r="C8" s="208" t="s">
        <v>55</v>
      </c>
      <c r="D8" s="208" t="s">
        <v>56</v>
      </c>
      <c r="E8" s="207" t="s">
        <v>8</v>
      </c>
      <c r="F8" s="207"/>
      <c r="G8" s="207"/>
      <c r="H8" s="207"/>
      <c r="I8" s="207"/>
      <c r="J8" s="207" t="s">
        <v>9</v>
      </c>
      <c r="K8" s="207"/>
      <c r="L8" s="207"/>
      <c r="M8" s="207"/>
      <c r="N8" s="207"/>
      <c r="O8" s="207"/>
      <c r="P8" s="207" t="s">
        <v>57</v>
      </c>
    </row>
    <row r="9" spans="1:16" s="118" customFormat="1" ht="45" customHeight="1">
      <c r="A9" s="207"/>
      <c r="B9" s="208"/>
      <c r="C9" s="208"/>
      <c r="D9" s="208"/>
      <c r="E9" s="207" t="s">
        <v>7</v>
      </c>
      <c r="F9" s="207" t="s">
        <v>58</v>
      </c>
      <c r="G9" s="207" t="s">
        <v>59</v>
      </c>
      <c r="H9" s="207"/>
      <c r="I9" s="207" t="s">
        <v>60</v>
      </c>
      <c r="J9" s="207" t="s">
        <v>7</v>
      </c>
      <c r="K9" s="207" t="s">
        <v>61</v>
      </c>
      <c r="L9" s="207" t="s">
        <v>59</v>
      </c>
      <c r="M9" s="207"/>
      <c r="N9" s="207" t="s">
        <v>60</v>
      </c>
      <c r="O9" s="117" t="s">
        <v>59</v>
      </c>
      <c r="P9" s="207"/>
    </row>
    <row r="10" spans="1:16" s="118" customFormat="1" ht="58.5" customHeight="1">
      <c r="A10" s="207"/>
      <c r="B10" s="208"/>
      <c r="C10" s="208"/>
      <c r="D10" s="208"/>
      <c r="E10" s="207"/>
      <c r="F10" s="207"/>
      <c r="G10" s="207" t="s">
        <v>62</v>
      </c>
      <c r="H10" s="207" t="s">
        <v>63</v>
      </c>
      <c r="I10" s="207"/>
      <c r="J10" s="207"/>
      <c r="K10" s="207"/>
      <c r="L10" s="207" t="s">
        <v>62</v>
      </c>
      <c r="M10" s="207" t="s">
        <v>63</v>
      </c>
      <c r="N10" s="207"/>
      <c r="O10" s="207" t="s">
        <v>64</v>
      </c>
      <c r="P10" s="207"/>
    </row>
    <row r="11" spans="1:16" s="118" customFormat="1" ht="43.5" customHeight="1">
      <c r="A11" s="207"/>
      <c r="B11" s="208"/>
      <c r="C11" s="208"/>
      <c r="D11" s="208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</row>
    <row r="12" spans="1:16" s="118" customFormat="1" ht="27" customHeight="1">
      <c r="A12" s="119">
        <v>1</v>
      </c>
      <c r="B12" s="117">
        <v>2</v>
      </c>
      <c r="C12" s="117">
        <v>3</v>
      </c>
      <c r="D12" s="117">
        <v>4</v>
      </c>
      <c r="E12" s="119">
        <v>5</v>
      </c>
      <c r="F12" s="119">
        <v>6</v>
      </c>
      <c r="G12" s="117">
        <v>7</v>
      </c>
      <c r="H12" s="117">
        <v>8</v>
      </c>
      <c r="I12" s="117">
        <v>9</v>
      </c>
      <c r="J12" s="119">
        <v>10</v>
      </c>
      <c r="K12" s="117">
        <v>11</v>
      </c>
      <c r="L12" s="117">
        <v>12</v>
      </c>
      <c r="M12" s="117">
        <v>13</v>
      </c>
      <c r="N12" s="117">
        <v>14</v>
      </c>
      <c r="O12" s="117">
        <v>15</v>
      </c>
      <c r="P12" s="117" t="s">
        <v>65</v>
      </c>
    </row>
    <row r="13" spans="1:16" s="118" customFormat="1" ht="60" customHeight="1">
      <c r="A13" s="120" t="s">
        <v>131</v>
      </c>
      <c r="B13" s="120"/>
      <c r="C13" s="120"/>
      <c r="D13" s="121" t="s">
        <v>66</v>
      </c>
      <c r="E13" s="122">
        <f>F13</f>
        <v>27126574</v>
      </c>
      <c r="F13" s="122">
        <f>F14</f>
        <v>27126574</v>
      </c>
      <c r="G13" s="122">
        <f>G14</f>
        <v>19536594</v>
      </c>
      <c r="H13" s="122">
        <f>H14</f>
        <v>481212</v>
      </c>
      <c r="I13" s="122">
        <f>I14</f>
        <v>0</v>
      </c>
      <c r="J13" s="122">
        <f aca="true" t="shared" si="0" ref="J13:J37">K13+N13</f>
        <v>624820</v>
      </c>
      <c r="K13" s="122">
        <f>K14</f>
        <v>10770</v>
      </c>
      <c r="L13" s="122">
        <f>L14</f>
        <v>0</v>
      </c>
      <c r="M13" s="122">
        <f>M14</f>
        <v>0</v>
      </c>
      <c r="N13" s="122">
        <f>O13</f>
        <v>614050</v>
      </c>
      <c r="O13" s="122">
        <f>O14</f>
        <v>614050</v>
      </c>
      <c r="P13" s="122">
        <f aca="true" t="shared" si="1" ref="P13:P28">E13+J13</f>
        <v>27751394</v>
      </c>
    </row>
    <row r="14" spans="1:16" s="118" customFormat="1" ht="64.5" customHeight="1">
      <c r="A14" s="120" t="s">
        <v>132</v>
      </c>
      <c r="B14" s="123"/>
      <c r="C14" s="123"/>
      <c r="D14" s="104" t="s">
        <v>66</v>
      </c>
      <c r="E14" s="124">
        <f>F14</f>
        <v>27126574</v>
      </c>
      <c r="F14" s="124">
        <f>F16+F17+F21+F23+F26+F29+F30+F33+F36+F39+F28+F18</f>
        <v>27126574</v>
      </c>
      <c r="G14" s="124">
        <f>G16+G17+G21+G23+G26+G29+G30+G33+G36+G39+G28+G18</f>
        <v>19536594</v>
      </c>
      <c r="H14" s="124">
        <f>H16+H17+H21+H23+H26+H29+H30+H33+H36+H39+H28+H18</f>
        <v>481212</v>
      </c>
      <c r="I14" s="124">
        <f>I16+I17+I21+I23+I26+I29+I30+I33+I36+I39</f>
        <v>0</v>
      </c>
      <c r="J14" s="124">
        <f t="shared" si="0"/>
        <v>624820</v>
      </c>
      <c r="K14" s="124">
        <f>K16+K17+K21+K23+K26+K29+K30+K33+K36+K39+K28+K18</f>
        <v>10770</v>
      </c>
      <c r="L14" s="124">
        <f>L16+L17+L21+L23+L26+L29+L30+L33+L36+L39+L28+L18</f>
        <v>0</v>
      </c>
      <c r="M14" s="124">
        <f>M16+M17+M21+M23+M26+M29+M30+M33+M36+M39+M28+M18</f>
        <v>0</v>
      </c>
      <c r="N14" s="124">
        <f>N16+N17+N21+N23+N26+N29+N30+N33+N36+N39+N28+N18</f>
        <v>614050</v>
      </c>
      <c r="O14" s="124">
        <f>O16+O17+O21+O23+O26+O29+O30+O33+O36+O39+O28+O18</f>
        <v>614050</v>
      </c>
      <c r="P14" s="124">
        <f>E14+J14</f>
        <v>27751394</v>
      </c>
    </row>
    <row r="15" spans="1:16" s="128" customFormat="1" ht="63" customHeight="1">
      <c r="A15" s="123"/>
      <c r="B15" s="123" t="s">
        <v>270</v>
      </c>
      <c r="C15" s="123"/>
      <c r="D15" s="121" t="s">
        <v>271</v>
      </c>
      <c r="E15" s="122">
        <f>E16+E17</f>
        <v>26516044</v>
      </c>
      <c r="F15" s="122">
        <f aca="true" t="shared" si="2" ref="F15:P15">F16+F17</f>
        <v>26516044</v>
      </c>
      <c r="G15" s="122">
        <f t="shared" si="2"/>
        <v>19469468</v>
      </c>
      <c r="H15" s="122">
        <f t="shared" si="2"/>
        <v>481212</v>
      </c>
      <c r="I15" s="122">
        <f t="shared" si="2"/>
        <v>0</v>
      </c>
      <c r="J15" s="122">
        <f t="shared" si="2"/>
        <v>254820</v>
      </c>
      <c r="K15" s="122">
        <f t="shared" si="2"/>
        <v>10770</v>
      </c>
      <c r="L15" s="122">
        <f t="shared" si="2"/>
        <v>0</v>
      </c>
      <c r="M15" s="122">
        <f t="shared" si="2"/>
        <v>0</v>
      </c>
      <c r="N15" s="122">
        <f t="shared" si="2"/>
        <v>244050</v>
      </c>
      <c r="O15" s="122">
        <f t="shared" si="2"/>
        <v>244050</v>
      </c>
      <c r="P15" s="122">
        <f t="shared" si="2"/>
        <v>26770864</v>
      </c>
    </row>
    <row r="16" spans="1:16" s="118" customFormat="1" ht="72" customHeight="1">
      <c r="A16" s="125" t="s">
        <v>134</v>
      </c>
      <c r="B16" s="125" t="s">
        <v>135</v>
      </c>
      <c r="C16" s="125" t="s">
        <v>67</v>
      </c>
      <c r="D16" s="126" t="s">
        <v>133</v>
      </c>
      <c r="E16" s="124">
        <f aca="true" t="shared" si="3" ref="E16:E41">F16</f>
        <v>26487968</v>
      </c>
      <c r="F16" s="124">
        <f>25532124+72500+158600+281000+34913-21400-86150+15000+8500+282100+210781</f>
        <v>26487968</v>
      </c>
      <c r="G16" s="127">
        <f>18885523+180328+28617+375000</f>
        <v>19469468</v>
      </c>
      <c r="H16" s="127">
        <f>502612-21400</f>
        <v>481212</v>
      </c>
      <c r="I16" s="124">
        <v>0</v>
      </c>
      <c r="J16" s="124">
        <f t="shared" si="0"/>
        <v>254820</v>
      </c>
      <c r="K16" s="124">
        <v>10770</v>
      </c>
      <c r="L16" s="124">
        <v>0</v>
      </c>
      <c r="M16" s="124">
        <v>0</v>
      </c>
      <c r="N16" s="124">
        <f>O16</f>
        <v>244050</v>
      </c>
      <c r="O16" s="124">
        <f>137500+2000+21400+83150</f>
        <v>244050</v>
      </c>
      <c r="P16" s="124">
        <f>E16+J16</f>
        <v>26742788</v>
      </c>
    </row>
    <row r="17" spans="1:16" s="118" customFormat="1" ht="72" customHeight="1">
      <c r="A17" s="125" t="s">
        <v>136</v>
      </c>
      <c r="B17" s="125" t="s">
        <v>137</v>
      </c>
      <c r="C17" s="125" t="s">
        <v>138</v>
      </c>
      <c r="D17" s="126" t="s">
        <v>204</v>
      </c>
      <c r="E17" s="124">
        <f t="shared" si="3"/>
        <v>28076</v>
      </c>
      <c r="F17" s="124">
        <f>25076+3000</f>
        <v>28076</v>
      </c>
      <c r="G17" s="127"/>
      <c r="H17" s="127"/>
      <c r="I17" s="124"/>
      <c r="J17" s="124">
        <f t="shared" si="0"/>
        <v>0</v>
      </c>
      <c r="K17" s="124">
        <v>0</v>
      </c>
      <c r="L17" s="124"/>
      <c r="M17" s="124"/>
      <c r="N17" s="124">
        <v>0</v>
      </c>
      <c r="O17" s="124"/>
      <c r="P17" s="124">
        <f t="shared" si="1"/>
        <v>28076</v>
      </c>
    </row>
    <row r="18" spans="1:16" s="128" customFormat="1" ht="64.5" customHeight="1">
      <c r="A18" s="196"/>
      <c r="B18" s="196" t="s">
        <v>283</v>
      </c>
      <c r="C18" s="196"/>
      <c r="D18" s="153" t="s">
        <v>284</v>
      </c>
      <c r="E18" s="122">
        <f>E19</f>
        <v>130000</v>
      </c>
      <c r="F18" s="122">
        <f aca="true" t="shared" si="4" ref="F18:P18">F19</f>
        <v>130000</v>
      </c>
      <c r="G18" s="122">
        <f t="shared" si="4"/>
        <v>0</v>
      </c>
      <c r="H18" s="122">
        <f t="shared" si="4"/>
        <v>0</v>
      </c>
      <c r="I18" s="122">
        <f t="shared" si="4"/>
        <v>0</v>
      </c>
      <c r="J18" s="122">
        <f t="shared" si="4"/>
        <v>370000</v>
      </c>
      <c r="K18" s="122">
        <f t="shared" si="4"/>
        <v>0</v>
      </c>
      <c r="L18" s="122">
        <f t="shared" si="4"/>
        <v>0</v>
      </c>
      <c r="M18" s="122">
        <f t="shared" si="4"/>
        <v>0</v>
      </c>
      <c r="N18" s="122">
        <f t="shared" si="4"/>
        <v>370000</v>
      </c>
      <c r="O18" s="122">
        <f t="shared" si="4"/>
        <v>370000</v>
      </c>
      <c r="P18" s="122">
        <f t="shared" si="4"/>
        <v>500000</v>
      </c>
    </row>
    <row r="19" spans="1:16" s="118" customFormat="1" ht="106.5" customHeight="1">
      <c r="A19" s="125" t="s">
        <v>285</v>
      </c>
      <c r="B19" s="125" t="s">
        <v>184</v>
      </c>
      <c r="C19" s="125" t="s">
        <v>286</v>
      </c>
      <c r="D19" s="126" t="s">
        <v>287</v>
      </c>
      <c r="E19" s="124">
        <f>F19</f>
        <v>130000</v>
      </c>
      <c r="F19" s="124">
        <v>130000</v>
      </c>
      <c r="G19" s="127"/>
      <c r="H19" s="127"/>
      <c r="I19" s="124"/>
      <c r="J19" s="124">
        <f>K19+O19</f>
        <v>370000</v>
      </c>
      <c r="K19" s="124"/>
      <c r="L19" s="124"/>
      <c r="M19" s="124"/>
      <c r="N19" s="124">
        <f>O19</f>
        <v>370000</v>
      </c>
      <c r="O19" s="124">
        <v>370000</v>
      </c>
      <c r="P19" s="124">
        <f>E19+J19</f>
        <v>500000</v>
      </c>
    </row>
    <row r="20" spans="1:16" s="128" customFormat="1" ht="63" customHeight="1">
      <c r="A20" s="196"/>
      <c r="B20" s="196" t="s">
        <v>272</v>
      </c>
      <c r="C20" s="196"/>
      <c r="D20" s="153" t="s">
        <v>273</v>
      </c>
      <c r="E20" s="122">
        <f>E21+E23+E26+E28+E29+E30</f>
        <v>353607</v>
      </c>
      <c r="F20" s="122">
        <f aca="true" t="shared" si="5" ref="F20:O20">F21+F23+F26+F28+F29+F30</f>
        <v>353607</v>
      </c>
      <c r="G20" s="122">
        <f t="shared" si="5"/>
        <v>67126</v>
      </c>
      <c r="H20" s="122">
        <f t="shared" si="5"/>
        <v>0</v>
      </c>
      <c r="I20" s="122">
        <f t="shared" si="5"/>
        <v>0</v>
      </c>
      <c r="J20" s="122">
        <f t="shared" si="5"/>
        <v>0</v>
      </c>
      <c r="K20" s="122">
        <f t="shared" si="5"/>
        <v>0</v>
      </c>
      <c r="L20" s="122">
        <f t="shared" si="5"/>
        <v>0</v>
      </c>
      <c r="M20" s="122">
        <f t="shared" si="5"/>
        <v>0</v>
      </c>
      <c r="N20" s="122">
        <f t="shared" si="5"/>
        <v>0</v>
      </c>
      <c r="O20" s="122">
        <f t="shared" si="5"/>
        <v>0</v>
      </c>
      <c r="P20" s="122">
        <f>P21+P23+P26+P28+P29+P30</f>
        <v>353607</v>
      </c>
    </row>
    <row r="21" spans="1:16" s="128" customFormat="1" ht="64.5" customHeight="1">
      <c r="A21" s="123" t="s">
        <v>152</v>
      </c>
      <c r="B21" s="123" t="s">
        <v>68</v>
      </c>
      <c r="C21" s="123"/>
      <c r="D21" s="121" t="s">
        <v>69</v>
      </c>
      <c r="E21" s="122">
        <f t="shared" si="3"/>
        <v>60677</v>
      </c>
      <c r="F21" s="122">
        <f>F22</f>
        <v>60677</v>
      </c>
      <c r="G21" s="122">
        <f>G22</f>
        <v>0</v>
      </c>
      <c r="H21" s="122">
        <f>H22</f>
        <v>0</v>
      </c>
      <c r="I21" s="122">
        <f>I22</f>
        <v>0</v>
      </c>
      <c r="J21" s="122">
        <f t="shared" si="0"/>
        <v>0</v>
      </c>
      <c r="K21" s="122">
        <f>K22</f>
        <v>0</v>
      </c>
      <c r="L21" s="122">
        <f>L22</f>
        <v>0</v>
      </c>
      <c r="M21" s="122">
        <f>M22</f>
        <v>0</v>
      </c>
      <c r="N21" s="122">
        <f aca="true" t="shared" si="6" ref="N21:N37">O21</f>
        <v>0</v>
      </c>
      <c r="O21" s="122">
        <f>O22</f>
        <v>0</v>
      </c>
      <c r="P21" s="122">
        <f t="shared" si="1"/>
        <v>60677</v>
      </c>
    </row>
    <row r="22" spans="1:16" s="118" customFormat="1" ht="66" customHeight="1">
      <c r="A22" s="120" t="s">
        <v>153</v>
      </c>
      <c r="B22" s="120" t="s">
        <v>70</v>
      </c>
      <c r="C22" s="120" t="s">
        <v>71</v>
      </c>
      <c r="D22" s="104" t="s">
        <v>72</v>
      </c>
      <c r="E22" s="124">
        <f t="shared" si="3"/>
        <v>60677</v>
      </c>
      <c r="F22" s="124">
        <f>62000-12900+1200+10777-400</f>
        <v>60677</v>
      </c>
      <c r="G22" s="124"/>
      <c r="H22" s="124"/>
      <c r="I22" s="124"/>
      <c r="J22" s="124">
        <f t="shared" si="0"/>
        <v>0</v>
      </c>
      <c r="K22" s="124">
        <v>0</v>
      </c>
      <c r="L22" s="124"/>
      <c r="M22" s="124"/>
      <c r="N22" s="124">
        <f t="shared" si="6"/>
        <v>0</v>
      </c>
      <c r="O22" s="124"/>
      <c r="P22" s="124">
        <f t="shared" si="1"/>
        <v>60677</v>
      </c>
    </row>
    <row r="23" spans="1:16" s="128" customFormat="1" ht="58.5" customHeight="1">
      <c r="A23" s="123" t="s">
        <v>154</v>
      </c>
      <c r="B23" s="123" t="s">
        <v>155</v>
      </c>
      <c r="C23" s="123"/>
      <c r="D23" s="121" t="s">
        <v>74</v>
      </c>
      <c r="E23" s="122">
        <f t="shared" si="3"/>
        <v>12045</v>
      </c>
      <c r="F23" s="122">
        <f>F24+F25</f>
        <v>12045</v>
      </c>
      <c r="G23" s="122">
        <f>G24+G25</f>
        <v>0</v>
      </c>
      <c r="H23" s="122">
        <f>H24+H25</f>
        <v>0</v>
      </c>
      <c r="I23" s="122">
        <f>I24+I25</f>
        <v>0</v>
      </c>
      <c r="J23" s="122">
        <f t="shared" si="0"/>
        <v>0</v>
      </c>
      <c r="K23" s="122">
        <f>K24+K25</f>
        <v>0</v>
      </c>
      <c r="L23" s="122">
        <f>L24+L25</f>
        <v>0</v>
      </c>
      <c r="M23" s="122">
        <f>M24+M25</f>
        <v>0</v>
      </c>
      <c r="N23" s="122">
        <f t="shared" si="6"/>
        <v>0</v>
      </c>
      <c r="O23" s="122">
        <f>O24+O25</f>
        <v>0</v>
      </c>
      <c r="P23" s="122">
        <f t="shared" si="1"/>
        <v>12045</v>
      </c>
    </row>
    <row r="24" spans="1:16" s="118" customFormat="1" ht="75" customHeight="1">
      <c r="A24" s="120" t="s">
        <v>156</v>
      </c>
      <c r="B24" s="120" t="s">
        <v>157</v>
      </c>
      <c r="C24" s="120" t="s">
        <v>71</v>
      </c>
      <c r="D24" s="104" t="s">
        <v>75</v>
      </c>
      <c r="E24" s="124">
        <f t="shared" si="3"/>
        <v>1845</v>
      </c>
      <c r="F24" s="124">
        <f>2200-355</f>
        <v>1845</v>
      </c>
      <c r="G24" s="124"/>
      <c r="H24" s="124"/>
      <c r="I24" s="124"/>
      <c r="J24" s="124">
        <f t="shared" si="0"/>
        <v>0</v>
      </c>
      <c r="K24" s="124">
        <v>0</v>
      </c>
      <c r="L24" s="124"/>
      <c r="M24" s="124"/>
      <c r="N24" s="124">
        <f t="shared" si="6"/>
        <v>0</v>
      </c>
      <c r="O24" s="124"/>
      <c r="P24" s="124">
        <f t="shared" si="1"/>
        <v>1845</v>
      </c>
    </row>
    <row r="25" spans="1:16" s="118" customFormat="1" ht="60" customHeight="1">
      <c r="A25" s="120" t="s">
        <v>158</v>
      </c>
      <c r="B25" s="120" t="s">
        <v>159</v>
      </c>
      <c r="C25" s="120" t="s">
        <v>71</v>
      </c>
      <c r="D25" s="104" t="s">
        <v>76</v>
      </c>
      <c r="E25" s="124">
        <f t="shared" si="3"/>
        <v>10200</v>
      </c>
      <c r="F25" s="124">
        <f>10400-1200+1000</f>
        <v>10200</v>
      </c>
      <c r="G25" s="124"/>
      <c r="H25" s="124"/>
      <c r="I25" s="124"/>
      <c r="J25" s="124">
        <f t="shared" si="0"/>
        <v>0</v>
      </c>
      <c r="K25" s="124">
        <v>0</v>
      </c>
      <c r="L25" s="124"/>
      <c r="M25" s="124"/>
      <c r="N25" s="124">
        <f t="shared" si="6"/>
        <v>0</v>
      </c>
      <c r="O25" s="124"/>
      <c r="P25" s="124">
        <f t="shared" si="1"/>
        <v>10200</v>
      </c>
    </row>
    <row r="26" spans="1:16" s="118" customFormat="1" ht="60" customHeight="1">
      <c r="A26" s="123" t="s">
        <v>160</v>
      </c>
      <c r="B26" s="123" t="s">
        <v>73</v>
      </c>
      <c r="C26" s="123"/>
      <c r="D26" s="121" t="s">
        <v>77</v>
      </c>
      <c r="E26" s="122">
        <f t="shared" si="3"/>
        <v>9755</v>
      </c>
      <c r="F26" s="122">
        <f>F27</f>
        <v>9755</v>
      </c>
      <c r="G26" s="122"/>
      <c r="H26" s="122"/>
      <c r="I26" s="122"/>
      <c r="J26" s="122">
        <f t="shared" si="0"/>
        <v>0</v>
      </c>
      <c r="K26" s="122">
        <v>0</v>
      </c>
      <c r="L26" s="122"/>
      <c r="M26" s="122"/>
      <c r="N26" s="122">
        <f t="shared" si="6"/>
        <v>0</v>
      </c>
      <c r="O26" s="122"/>
      <c r="P26" s="122">
        <f t="shared" si="1"/>
        <v>9755</v>
      </c>
    </row>
    <row r="27" spans="1:16" s="118" customFormat="1" ht="70.5" customHeight="1">
      <c r="A27" s="120" t="s">
        <v>161</v>
      </c>
      <c r="B27" s="120" t="s">
        <v>162</v>
      </c>
      <c r="C27" s="120" t="s">
        <v>71</v>
      </c>
      <c r="D27" s="126" t="s">
        <v>78</v>
      </c>
      <c r="E27" s="124">
        <f t="shared" si="3"/>
        <v>9755</v>
      </c>
      <c r="F27" s="124">
        <f>10000-245</f>
        <v>9755</v>
      </c>
      <c r="G27" s="124"/>
      <c r="H27" s="124"/>
      <c r="I27" s="124"/>
      <c r="J27" s="124">
        <f t="shared" si="0"/>
        <v>0</v>
      </c>
      <c r="K27" s="124">
        <v>0</v>
      </c>
      <c r="L27" s="124"/>
      <c r="M27" s="124"/>
      <c r="N27" s="124">
        <f t="shared" si="6"/>
        <v>0</v>
      </c>
      <c r="O27" s="124"/>
      <c r="P27" s="124">
        <f t="shared" si="1"/>
        <v>9755</v>
      </c>
    </row>
    <row r="28" spans="1:16" s="118" customFormat="1" ht="103.5" customHeight="1">
      <c r="A28" s="120" t="s">
        <v>247</v>
      </c>
      <c r="B28" s="120" t="s">
        <v>248</v>
      </c>
      <c r="C28" s="120" t="s">
        <v>71</v>
      </c>
      <c r="D28" s="126" t="s">
        <v>249</v>
      </c>
      <c r="E28" s="124">
        <f>F28</f>
        <v>12900</v>
      </c>
      <c r="F28" s="124">
        <v>12900</v>
      </c>
      <c r="G28" s="124"/>
      <c r="H28" s="124"/>
      <c r="I28" s="124"/>
      <c r="J28" s="124">
        <f t="shared" si="0"/>
        <v>0</v>
      </c>
      <c r="K28" s="124">
        <v>0</v>
      </c>
      <c r="L28" s="124"/>
      <c r="M28" s="124"/>
      <c r="N28" s="124">
        <f t="shared" si="6"/>
        <v>0</v>
      </c>
      <c r="O28" s="124"/>
      <c r="P28" s="124">
        <f t="shared" si="1"/>
        <v>12900</v>
      </c>
    </row>
    <row r="29" spans="1:16" s="118" customFormat="1" ht="55.5" customHeight="1">
      <c r="A29" s="125" t="s">
        <v>209</v>
      </c>
      <c r="B29" s="125" t="s">
        <v>207</v>
      </c>
      <c r="C29" s="125" t="s">
        <v>104</v>
      </c>
      <c r="D29" s="129" t="s">
        <v>105</v>
      </c>
      <c r="E29" s="127">
        <f t="shared" si="3"/>
        <v>81900</v>
      </c>
      <c r="F29" s="127">
        <f>96900-15000</f>
        <v>81900</v>
      </c>
      <c r="G29" s="127">
        <f>79426-12300</f>
        <v>67126</v>
      </c>
      <c r="H29" s="127"/>
      <c r="I29" s="127"/>
      <c r="J29" s="127">
        <f t="shared" si="0"/>
        <v>0</v>
      </c>
      <c r="K29" s="127">
        <v>0</v>
      </c>
      <c r="L29" s="127"/>
      <c r="M29" s="127"/>
      <c r="N29" s="127">
        <f t="shared" si="6"/>
        <v>0</v>
      </c>
      <c r="O29" s="127"/>
      <c r="P29" s="127">
        <f>J29+E29</f>
        <v>81900</v>
      </c>
    </row>
    <row r="30" spans="1:16" s="118" customFormat="1" ht="56.25" customHeight="1">
      <c r="A30" s="123" t="s">
        <v>215</v>
      </c>
      <c r="B30" s="123" t="s">
        <v>211</v>
      </c>
      <c r="C30" s="123"/>
      <c r="D30" s="153" t="s">
        <v>166</v>
      </c>
      <c r="E30" s="137">
        <f t="shared" si="3"/>
        <v>176330</v>
      </c>
      <c r="F30" s="137">
        <f>F31</f>
        <v>176330</v>
      </c>
      <c r="G30" s="122"/>
      <c r="H30" s="122"/>
      <c r="I30" s="122"/>
      <c r="J30" s="122">
        <f t="shared" si="0"/>
        <v>0</v>
      </c>
      <c r="K30" s="122">
        <v>0</v>
      </c>
      <c r="L30" s="122"/>
      <c r="M30" s="122"/>
      <c r="N30" s="122">
        <f t="shared" si="6"/>
        <v>0</v>
      </c>
      <c r="O30" s="122"/>
      <c r="P30" s="122">
        <f aca="true" t="shared" si="7" ref="P30:P43">E30+J30</f>
        <v>176330</v>
      </c>
    </row>
    <row r="31" spans="1:16" s="118" customFormat="1" ht="51.75" customHeight="1">
      <c r="A31" s="120" t="s">
        <v>216</v>
      </c>
      <c r="B31" s="120" t="s">
        <v>213</v>
      </c>
      <c r="C31" s="120" t="s">
        <v>79</v>
      </c>
      <c r="D31" s="126" t="s">
        <v>214</v>
      </c>
      <c r="E31" s="130">
        <f t="shared" si="3"/>
        <v>176330</v>
      </c>
      <c r="F31" s="130">
        <v>176330</v>
      </c>
      <c r="G31" s="124"/>
      <c r="H31" s="124"/>
      <c r="I31" s="124"/>
      <c r="J31" s="124">
        <v>0</v>
      </c>
      <c r="K31" s="124">
        <v>0</v>
      </c>
      <c r="L31" s="124"/>
      <c r="M31" s="124"/>
      <c r="N31" s="124">
        <v>0</v>
      </c>
      <c r="O31" s="124"/>
      <c r="P31" s="124">
        <f>E31+J31</f>
        <v>176330</v>
      </c>
    </row>
    <row r="32" spans="1:16" s="128" customFormat="1" ht="51.75" customHeight="1">
      <c r="A32" s="123"/>
      <c r="B32" s="123" t="s">
        <v>274</v>
      </c>
      <c r="C32" s="123"/>
      <c r="D32" s="153" t="s">
        <v>275</v>
      </c>
      <c r="E32" s="137">
        <f>E33</f>
        <v>85400</v>
      </c>
      <c r="F32" s="137">
        <f aca="true" t="shared" si="8" ref="F32:P32">F33</f>
        <v>85400</v>
      </c>
      <c r="G32" s="137">
        <f t="shared" si="8"/>
        <v>0</v>
      </c>
      <c r="H32" s="137">
        <f t="shared" si="8"/>
        <v>0</v>
      </c>
      <c r="I32" s="137">
        <f t="shared" si="8"/>
        <v>0</v>
      </c>
      <c r="J32" s="137">
        <f t="shared" si="8"/>
        <v>0</v>
      </c>
      <c r="K32" s="137">
        <f t="shared" si="8"/>
        <v>0</v>
      </c>
      <c r="L32" s="137">
        <f t="shared" si="8"/>
        <v>0</v>
      </c>
      <c r="M32" s="137">
        <f t="shared" si="8"/>
        <v>0</v>
      </c>
      <c r="N32" s="137">
        <f t="shared" si="8"/>
        <v>0</v>
      </c>
      <c r="O32" s="137">
        <f t="shared" si="8"/>
        <v>0</v>
      </c>
      <c r="P32" s="137">
        <f t="shared" si="8"/>
        <v>85400</v>
      </c>
    </row>
    <row r="33" spans="1:16" s="118" customFormat="1" ht="57" customHeight="1">
      <c r="A33" s="123" t="s">
        <v>168</v>
      </c>
      <c r="B33" s="123" t="s">
        <v>169</v>
      </c>
      <c r="C33" s="123"/>
      <c r="D33" s="121" t="s">
        <v>170</v>
      </c>
      <c r="E33" s="122">
        <f t="shared" si="3"/>
        <v>85400</v>
      </c>
      <c r="F33" s="122">
        <f>F34</f>
        <v>85400</v>
      </c>
      <c r="G33" s="122"/>
      <c r="H33" s="122"/>
      <c r="I33" s="122"/>
      <c r="J33" s="122">
        <f t="shared" si="0"/>
        <v>0</v>
      </c>
      <c r="K33" s="122">
        <v>0</v>
      </c>
      <c r="L33" s="122"/>
      <c r="M33" s="122"/>
      <c r="N33" s="122">
        <f t="shared" si="6"/>
        <v>0</v>
      </c>
      <c r="O33" s="122"/>
      <c r="P33" s="122">
        <f t="shared" si="7"/>
        <v>85400</v>
      </c>
    </row>
    <row r="34" spans="1:16" s="118" customFormat="1" ht="58.5" customHeight="1">
      <c r="A34" s="120" t="s">
        <v>217</v>
      </c>
      <c r="B34" s="120" t="s">
        <v>218</v>
      </c>
      <c r="C34" s="120" t="s">
        <v>80</v>
      </c>
      <c r="D34" s="104" t="s">
        <v>219</v>
      </c>
      <c r="E34" s="124">
        <f t="shared" si="3"/>
        <v>85400</v>
      </c>
      <c r="F34" s="124">
        <v>85400</v>
      </c>
      <c r="G34" s="124"/>
      <c r="H34" s="124"/>
      <c r="I34" s="124"/>
      <c r="J34" s="124">
        <v>0</v>
      </c>
      <c r="K34" s="124">
        <v>0</v>
      </c>
      <c r="L34" s="124"/>
      <c r="M34" s="124"/>
      <c r="N34" s="124">
        <v>0</v>
      </c>
      <c r="O34" s="124"/>
      <c r="P34" s="124">
        <f>E34+J34</f>
        <v>85400</v>
      </c>
    </row>
    <row r="35" spans="1:16" s="118" customFormat="1" ht="54" customHeight="1">
      <c r="A35" s="123"/>
      <c r="B35" s="123" t="s">
        <v>276</v>
      </c>
      <c r="C35" s="123"/>
      <c r="D35" s="121" t="s">
        <v>277</v>
      </c>
      <c r="E35" s="122">
        <f>E36</f>
        <v>41000</v>
      </c>
      <c r="F35" s="122">
        <f aca="true" t="shared" si="9" ref="F35:P35">F36</f>
        <v>41000</v>
      </c>
      <c r="G35" s="122">
        <f t="shared" si="9"/>
        <v>0</v>
      </c>
      <c r="H35" s="122">
        <f t="shared" si="9"/>
        <v>0</v>
      </c>
      <c r="I35" s="122">
        <f t="shared" si="9"/>
        <v>0</v>
      </c>
      <c r="J35" s="122">
        <f t="shared" si="9"/>
        <v>0</v>
      </c>
      <c r="K35" s="122">
        <f t="shared" si="9"/>
        <v>0</v>
      </c>
      <c r="L35" s="122">
        <f t="shared" si="9"/>
        <v>0</v>
      </c>
      <c r="M35" s="122">
        <f t="shared" si="9"/>
        <v>0</v>
      </c>
      <c r="N35" s="122">
        <f t="shared" si="9"/>
        <v>0</v>
      </c>
      <c r="O35" s="122">
        <f t="shared" si="9"/>
        <v>0</v>
      </c>
      <c r="P35" s="122">
        <f t="shared" si="9"/>
        <v>41000</v>
      </c>
    </row>
    <row r="36" spans="1:16" s="128" customFormat="1" ht="57" customHeight="1">
      <c r="A36" s="123" t="s">
        <v>171</v>
      </c>
      <c r="B36" s="123" t="s">
        <v>81</v>
      </c>
      <c r="C36" s="123"/>
      <c r="D36" s="121" t="s">
        <v>82</v>
      </c>
      <c r="E36" s="122">
        <f t="shared" si="3"/>
        <v>41000</v>
      </c>
      <c r="F36" s="122">
        <f>F37</f>
        <v>41000</v>
      </c>
      <c r="G36" s="122">
        <f>G37</f>
        <v>0</v>
      </c>
      <c r="H36" s="122">
        <f>H37</f>
        <v>0</v>
      </c>
      <c r="I36" s="122">
        <f>I37</f>
        <v>0</v>
      </c>
      <c r="J36" s="122">
        <f t="shared" si="0"/>
        <v>0</v>
      </c>
      <c r="K36" s="122">
        <f>K37</f>
        <v>0</v>
      </c>
      <c r="L36" s="122">
        <f>L37</f>
        <v>0</v>
      </c>
      <c r="M36" s="122">
        <f>M37</f>
        <v>0</v>
      </c>
      <c r="N36" s="122">
        <f t="shared" si="6"/>
        <v>0</v>
      </c>
      <c r="O36" s="122">
        <f>O37</f>
        <v>0</v>
      </c>
      <c r="P36" s="122">
        <f t="shared" si="7"/>
        <v>41000</v>
      </c>
    </row>
    <row r="37" spans="1:16" s="118" customFormat="1" ht="98.25" customHeight="1">
      <c r="A37" s="120" t="s">
        <v>172</v>
      </c>
      <c r="B37" s="120" t="s">
        <v>83</v>
      </c>
      <c r="C37" s="120" t="s">
        <v>84</v>
      </c>
      <c r="D37" s="104" t="s">
        <v>123</v>
      </c>
      <c r="E37" s="124">
        <f t="shared" si="3"/>
        <v>41000</v>
      </c>
      <c r="F37" s="124">
        <v>41000</v>
      </c>
      <c r="G37" s="124"/>
      <c r="H37" s="124"/>
      <c r="I37" s="124"/>
      <c r="J37" s="124">
        <f t="shared" si="0"/>
        <v>0</v>
      </c>
      <c r="K37" s="124">
        <v>0</v>
      </c>
      <c r="L37" s="124"/>
      <c r="M37" s="124"/>
      <c r="N37" s="124">
        <f t="shared" si="6"/>
        <v>0</v>
      </c>
      <c r="O37" s="124"/>
      <c r="P37" s="124">
        <f t="shared" si="7"/>
        <v>41000</v>
      </c>
    </row>
    <row r="38" spans="1:16" s="118" customFormat="1" ht="57.75" customHeight="1">
      <c r="A38" s="123"/>
      <c r="B38" s="123" t="s">
        <v>278</v>
      </c>
      <c r="C38" s="123"/>
      <c r="D38" s="121" t="s">
        <v>279</v>
      </c>
      <c r="E38" s="122">
        <f>E39</f>
        <v>523</v>
      </c>
      <c r="F38" s="122">
        <f aca="true" t="shared" si="10" ref="F38:P38">F39</f>
        <v>523</v>
      </c>
      <c r="G38" s="122">
        <f t="shared" si="10"/>
        <v>0</v>
      </c>
      <c r="H38" s="122">
        <f t="shared" si="10"/>
        <v>0</v>
      </c>
      <c r="I38" s="122">
        <f t="shared" si="10"/>
        <v>0</v>
      </c>
      <c r="J38" s="122">
        <f t="shared" si="10"/>
        <v>0</v>
      </c>
      <c r="K38" s="122">
        <f t="shared" si="10"/>
        <v>0</v>
      </c>
      <c r="L38" s="122">
        <f t="shared" si="10"/>
        <v>0</v>
      </c>
      <c r="M38" s="122">
        <f t="shared" si="10"/>
        <v>0</v>
      </c>
      <c r="N38" s="122">
        <f t="shared" si="10"/>
        <v>0</v>
      </c>
      <c r="O38" s="122">
        <f t="shared" si="10"/>
        <v>0</v>
      </c>
      <c r="P38" s="122">
        <f t="shared" si="10"/>
        <v>523</v>
      </c>
    </row>
    <row r="39" spans="1:16" s="118" customFormat="1" ht="55.5" customHeight="1">
      <c r="A39" s="120" t="s">
        <v>175</v>
      </c>
      <c r="B39" s="120" t="s">
        <v>178</v>
      </c>
      <c r="C39" s="120" t="s">
        <v>176</v>
      </c>
      <c r="D39" s="104" t="s">
        <v>177</v>
      </c>
      <c r="E39" s="124">
        <f t="shared" si="3"/>
        <v>523</v>
      </c>
      <c r="F39" s="124">
        <f>1800-1277</f>
        <v>523</v>
      </c>
      <c r="G39" s="124"/>
      <c r="H39" s="124"/>
      <c r="I39" s="124"/>
      <c r="J39" s="124">
        <v>0</v>
      </c>
      <c r="K39" s="124">
        <v>0</v>
      </c>
      <c r="L39" s="124"/>
      <c r="M39" s="124"/>
      <c r="N39" s="124">
        <v>0</v>
      </c>
      <c r="O39" s="124">
        <v>0</v>
      </c>
      <c r="P39" s="124">
        <f t="shared" si="7"/>
        <v>523</v>
      </c>
    </row>
    <row r="40" spans="1:16" s="118" customFormat="1" ht="70.5" customHeight="1">
      <c r="A40" s="120" t="s">
        <v>139</v>
      </c>
      <c r="B40" s="120"/>
      <c r="C40" s="120"/>
      <c r="D40" s="121" t="s">
        <v>86</v>
      </c>
      <c r="E40" s="122">
        <f t="shared" si="3"/>
        <v>255668517.89</v>
      </c>
      <c r="F40" s="122">
        <f>F41</f>
        <v>255668517.89</v>
      </c>
      <c r="G40" s="122">
        <f>G41</f>
        <v>7066767</v>
      </c>
      <c r="H40" s="122">
        <f>H41</f>
        <v>333484</v>
      </c>
      <c r="I40" s="122">
        <f>I41</f>
        <v>0</v>
      </c>
      <c r="J40" s="122">
        <f>K40+N40</f>
        <v>777842</v>
      </c>
      <c r="K40" s="122">
        <f>K41</f>
        <v>605455</v>
      </c>
      <c r="L40" s="122">
        <f>L41</f>
        <v>445487</v>
      </c>
      <c r="M40" s="122">
        <f>M41</f>
        <v>5809</v>
      </c>
      <c r="N40" s="122">
        <f>O40</f>
        <v>172387</v>
      </c>
      <c r="O40" s="122">
        <f>O41</f>
        <v>172387</v>
      </c>
      <c r="P40" s="122">
        <f t="shared" si="7"/>
        <v>256446359.89</v>
      </c>
    </row>
    <row r="41" spans="1:16" s="118" customFormat="1" ht="79.5" customHeight="1">
      <c r="A41" s="120" t="s">
        <v>140</v>
      </c>
      <c r="B41" s="123"/>
      <c r="C41" s="123"/>
      <c r="D41" s="104" t="s">
        <v>86</v>
      </c>
      <c r="E41" s="124">
        <f t="shared" si="3"/>
        <v>255668517.89</v>
      </c>
      <c r="F41" s="124">
        <f>F43+F45+F48+F56+F62+F64+F65+F66+F69</f>
        <v>255668517.89</v>
      </c>
      <c r="G41" s="124">
        <f>G43+G45+G48+G56+G62+G64+G65+G66</f>
        <v>7066767</v>
      </c>
      <c r="H41" s="124">
        <f>H43+H45+H48+H56+H62+H64+H65+H66</f>
        <v>333484</v>
      </c>
      <c r="I41" s="124">
        <f>I43+I45+I48+I56+I62+I64+I65+I66</f>
        <v>0</v>
      </c>
      <c r="J41" s="124">
        <f>K41+N41</f>
        <v>777842</v>
      </c>
      <c r="K41" s="124">
        <f>K43+K45+K48+K56+K62+K64+K65+K66</f>
        <v>605455</v>
      </c>
      <c r="L41" s="124">
        <f>L43+L45+L48+L56+L62+L64+L65+L66</f>
        <v>445487</v>
      </c>
      <c r="M41" s="124">
        <f>M43+M45+M48+M56+M62+M64+M65+M66</f>
        <v>5809</v>
      </c>
      <c r="N41" s="124">
        <f>O41</f>
        <v>172387</v>
      </c>
      <c r="O41" s="124">
        <f>O43+O45+O48+O56+O62+O64+O65+O66+O69</f>
        <v>172387</v>
      </c>
      <c r="P41" s="124">
        <f>E41+J41</f>
        <v>256446359.89</v>
      </c>
    </row>
    <row r="42" spans="1:16" s="118" customFormat="1" ht="55.5" customHeight="1">
      <c r="A42" s="123"/>
      <c r="B42" s="123" t="s">
        <v>272</v>
      </c>
      <c r="C42" s="123"/>
      <c r="D42" s="121" t="s">
        <v>273</v>
      </c>
      <c r="E42" s="122">
        <f>E43+E45+E48+E56+E62+E64+E65+E66</f>
        <v>255668517.89</v>
      </c>
      <c r="F42" s="122">
        <f aca="true" t="shared" si="11" ref="F42:P42">F43+F45+F48+F56+F62+F64+F65+F66</f>
        <v>255668517.89</v>
      </c>
      <c r="G42" s="122">
        <f t="shared" si="11"/>
        <v>7066767</v>
      </c>
      <c r="H42" s="122">
        <f t="shared" si="11"/>
        <v>333484</v>
      </c>
      <c r="I42" s="122">
        <f t="shared" si="11"/>
        <v>0</v>
      </c>
      <c r="J42" s="122">
        <f t="shared" si="11"/>
        <v>692901</v>
      </c>
      <c r="K42" s="122">
        <f t="shared" si="11"/>
        <v>605455</v>
      </c>
      <c r="L42" s="122">
        <f t="shared" si="11"/>
        <v>445487</v>
      </c>
      <c r="M42" s="122">
        <f t="shared" si="11"/>
        <v>5809</v>
      </c>
      <c r="N42" s="122">
        <f t="shared" si="11"/>
        <v>87446</v>
      </c>
      <c r="O42" s="122">
        <f t="shared" si="11"/>
        <v>87446</v>
      </c>
      <c r="P42" s="122">
        <f t="shared" si="11"/>
        <v>256361418.89</v>
      </c>
    </row>
    <row r="43" spans="1:16" s="128" customFormat="1" ht="135" customHeight="1">
      <c r="A43" s="123" t="s">
        <v>179</v>
      </c>
      <c r="B43" s="123" t="s">
        <v>180</v>
      </c>
      <c r="C43" s="123"/>
      <c r="D43" s="121" t="s">
        <v>185</v>
      </c>
      <c r="E43" s="122">
        <f aca="true" t="shared" si="12" ref="E43:O43">E44</f>
        <v>151921614.51</v>
      </c>
      <c r="F43" s="122">
        <f t="shared" si="12"/>
        <v>151921614.51</v>
      </c>
      <c r="G43" s="122">
        <f t="shared" si="12"/>
        <v>0</v>
      </c>
      <c r="H43" s="122">
        <f t="shared" si="12"/>
        <v>0</v>
      </c>
      <c r="I43" s="122">
        <f t="shared" si="12"/>
        <v>0</v>
      </c>
      <c r="J43" s="122">
        <f t="shared" si="12"/>
        <v>0</v>
      </c>
      <c r="K43" s="122">
        <f t="shared" si="12"/>
        <v>0</v>
      </c>
      <c r="L43" s="122">
        <f t="shared" si="12"/>
        <v>0</v>
      </c>
      <c r="M43" s="122">
        <f t="shared" si="12"/>
        <v>0</v>
      </c>
      <c r="N43" s="122">
        <f t="shared" si="12"/>
        <v>0</v>
      </c>
      <c r="O43" s="122">
        <f t="shared" si="12"/>
        <v>0</v>
      </c>
      <c r="P43" s="122">
        <f t="shared" si="7"/>
        <v>151921614.51</v>
      </c>
    </row>
    <row r="44" spans="1:16" s="118" customFormat="1" ht="78" customHeight="1">
      <c r="A44" s="120" t="s">
        <v>182</v>
      </c>
      <c r="B44" s="120" t="s">
        <v>183</v>
      </c>
      <c r="C44" s="120" t="s">
        <v>184</v>
      </c>
      <c r="D44" s="104" t="s">
        <v>181</v>
      </c>
      <c r="E44" s="124">
        <f>F44</f>
        <v>151921614.51</v>
      </c>
      <c r="F44" s="124">
        <f>129913900+10000000+1400000+13159118-2551403.49</f>
        <v>151921614.51</v>
      </c>
      <c r="G44" s="124"/>
      <c r="H44" s="124"/>
      <c r="I44" s="124"/>
      <c r="J44" s="124">
        <v>0</v>
      </c>
      <c r="K44" s="124">
        <v>0</v>
      </c>
      <c r="L44" s="124"/>
      <c r="M44" s="124"/>
      <c r="N44" s="124">
        <v>0</v>
      </c>
      <c r="O44" s="124"/>
      <c r="P44" s="124">
        <f>J44+E44</f>
        <v>151921614.51</v>
      </c>
    </row>
    <row r="45" spans="1:16" s="128" customFormat="1" ht="73.5" customHeight="1">
      <c r="A45" s="123" t="s">
        <v>186</v>
      </c>
      <c r="B45" s="123" t="s">
        <v>187</v>
      </c>
      <c r="C45" s="123"/>
      <c r="D45" s="121" t="s">
        <v>192</v>
      </c>
      <c r="E45" s="122">
        <f aca="true" t="shared" si="13" ref="E45:O45">E46+E47</f>
        <v>993381.3799999999</v>
      </c>
      <c r="F45" s="122">
        <f t="shared" si="13"/>
        <v>993381.3799999999</v>
      </c>
      <c r="G45" s="122">
        <f t="shared" si="13"/>
        <v>0</v>
      </c>
      <c r="H45" s="122">
        <f t="shared" si="13"/>
        <v>0</v>
      </c>
      <c r="I45" s="122">
        <f t="shared" si="13"/>
        <v>0</v>
      </c>
      <c r="J45" s="122">
        <f t="shared" si="13"/>
        <v>0</v>
      </c>
      <c r="K45" s="122">
        <f t="shared" si="13"/>
        <v>0</v>
      </c>
      <c r="L45" s="122">
        <f t="shared" si="13"/>
        <v>0</v>
      </c>
      <c r="M45" s="122">
        <f t="shared" si="13"/>
        <v>0</v>
      </c>
      <c r="N45" s="122">
        <f t="shared" si="13"/>
        <v>0</v>
      </c>
      <c r="O45" s="122">
        <f t="shared" si="13"/>
        <v>0</v>
      </c>
      <c r="P45" s="122">
        <f>E45+J45</f>
        <v>993381.3799999999</v>
      </c>
    </row>
    <row r="46" spans="1:16" s="118" customFormat="1" ht="78" customHeight="1">
      <c r="A46" s="120" t="s">
        <v>188</v>
      </c>
      <c r="B46" s="120" t="s">
        <v>190</v>
      </c>
      <c r="C46" s="120" t="s">
        <v>125</v>
      </c>
      <c r="D46" s="109" t="s">
        <v>193</v>
      </c>
      <c r="E46" s="124">
        <f aca="true" t="shared" si="14" ref="E46:E78">F46</f>
        <v>134974.86000000002</v>
      </c>
      <c r="F46" s="124">
        <f>154534-26216-11900.45+18557.31</f>
        <v>134974.86000000002</v>
      </c>
      <c r="G46" s="124"/>
      <c r="H46" s="124"/>
      <c r="I46" s="124"/>
      <c r="J46" s="124">
        <f aca="true" t="shared" si="15" ref="J46:J64">K46+N46</f>
        <v>0</v>
      </c>
      <c r="K46" s="124">
        <v>0</v>
      </c>
      <c r="L46" s="124"/>
      <c r="M46" s="124"/>
      <c r="N46" s="124">
        <v>0</v>
      </c>
      <c r="O46" s="124"/>
      <c r="P46" s="124">
        <f>J46+E46</f>
        <v>134974.86000000002</v>
      </c>
    </row>
    <row r="47" spans="1:16" s="118" customFormat="1" ht="75" customHeight="1">
      <c r="A47" s="120" t="s">
        <v>189</v>
      </c>
      <c r="B47" s="120" t="s">
        <v>191</v>
      </c>
      <c r="C47" s="120" t="s">
        <v>184</v>
      </c>
      <c r="D47" s="131" t="s">
        <v>194</v>
      </c>
      <c r="E47" s="124">
        <f t="shared" si="14"/>
        <v>858406.5199999999</v>
      </c>
      <c r="F47" s="124">
        <f>897566-3291.53-38972-16491.87+9216-916.79+11296.71</f>
        <v>858406.5199999999</v>
      </c>
      <c r="G47" s="124"/>
      <c r="H47" s="124"/>
      <c r="I47" s="124"/>
      <c r="J47" s="124">
        <f t="shared" si="15"/>
        <v>0</v>
      </c>
      <c r="K47" s="124">
        <v>0</v>
      </c>
      <c r="L47" s="124"/>
      <c r="M47" s="124"/>
      <c r="N47" s="124">
        <v>0</v>
      </c>
      <c r="O47" s="124"/>
      <c r="P47" s="124">
        <f>J47+E47</f>
        <v>858406.5199999999</v>
      </c>
    </row>
    <row r="48" spans="1:16" s="128" customFormat="1" ht="70.5" customHeight="1">
      <c r="A48" s="123" t="s">
        <v>141</v>
      </c>
      <c r="B48" s="123" t="s">
        <v>87</v>
      </c>
      <c r="C48" s="123"/>
      <c r="D48" s="121" t="s">
        <v>228</v>
      </c>
      <c r="E48" s="122">
        <f t="shared" si="14"/>
        <v>68343409</v>
      </c>
      <c r="F48" s="122">
        <f>F49+F51+F52+F53+F54+F55+F50</f>
        <v>68343409</v>
      </c>
      <c r="G48" s="122">
        <f>G49+G51+G52+G53+G54+G55</f>
        <v>0</v>
      </c>
      <c r="H48" s="122">
        <f>H49+H51+H52+H53+H54+H55</f>
        <v>0</v>
      </c>
      <c r="I48" s="122">
        <f>I49+I51+I52+I53+I54+I55</f>
        <v>0</v>
      </c>
      <c r="J48" s="122">
        <f t="shared" si="15"/>
        <v>0</v>
      </c>
      <c r="K48" s="122">
        <f>K49+K51+K52+K53+K54+K55</f>
        <v>0</v>
      </c>
      <c r="L48" s="122">
        <f>L49+L51+L52+L53+L54+L55</f>
        <v>0</v>
      </c>
      <c r="M48" s="122">
        <f>M49+M51+M52+M53+M54+M55</f>
        <v>0</v>
      </c>
      <c r="N48" s="122">
        <f aca="true" t="shared" si="16" ref="N48:N64">O48</f>
        <v>0</v>
      </c>
      <c r="O48" s="122">
        <f>O49+O51+O52+O53+O54+O55</f>
        <v>0</v>
      </c>
      <c r="P48" s="122">
        <f>E48+J48</f>
        <v>68343409</v>
      </c>
    </row>
    <row r="49" spans="1:16" s="118" customFormat="1" ht="54" customHeight="1">
      <c r="A49" s="132" t="s">
        <v>142</v>
      </c>
      <c r="B49" s="132" t="s">
        <v>88</v>
      </c>
      <c r="C49" s="132" t="s">
        <v>71</v>
      </c>
      <c r="D49" s="133" t="s">
        <v>89</v>
      </c>
      <c r="E49" s="124">
        <f t="shared" si="14"/>
        <v>635799</v>
      </c>
      <c r="F49" s="130">
        <f>729100-93301</f>
        <v>635799</v>
      </c>
      <c r="G49" s="124"/>
      <c r="H49" s="124"/>
      <c r="I49" s="124"/>
      <c r="J49" s="124">
        <f t="shared" si="15"/>
        <v>0</v>
      </c>
      <c r="K49" s="124">
        <v>0</v>
      </c>
      <c r="L49" s="124"/>
      <c r="M49" s="124"/>
      <c r="N49" s="124">
        <f t="shared" si="16"/>
        <v>0</v>
      </c>
      <c r="O49" s="124"/>
      <c r="P49" s="124">
        <f aca="true" t="shared" si="17" ref="P49:P54">J49+E49</f>
        <v>635799</v>
      </c>
    </row>
    <row r="50" spans="1:16" s="118" customFormat="1" ht="54" customHeight="1">
      <c r="A50" s="132" t="s">
        <v>143</v>
      </c>
      <c r="B50" s="132" t="s">
        <v>90</v>
      </c>
      <c r="C50" s="132" t="s">
        <v>71</v>
      </c>
      <c r="D50" s="134" t="s">
        <v>100</v>
      </c>
      <c r="E50" s="124">
        <f>F50</f>
        <v>190920</v>
      </c>
      <c r="F50" s="130">
        <f>237360-46440</f>
        <v>190920</v>
      </c>
      <c r="G50" s="124"/>
      <c r="H50" s="124"/>
      <c r="I50" s="124"/>
      <c r="J50" s="124">
        <f>K50+N50</f>
        <v>0</v>
      </c>
      <c r="K50" s="124">
        <v>0</v>
      </c>
      <c r="L50" s="124"/>
      <c r="M50" s="124"/>
      <c r="N50" s="124">
        <f>O50</f>
        <v>0</v>
      </c>
      <c r="O50" s="124"/>
      <c r="P50" s="124">
        <f>J50+E50</f>
        <v>190920</v>
      </c>
    </row>
    <row r="51" spans="1:16" s="118" customFormat="1" ht="55.5" customHeight="1">
      <c r="A51" s="132" t="s">
        <v>144</v>
      </c>
      <c r="B51" s="132" t="s">
        <v>91</v>
      </c>
      <c r="C51" s="132" t="s">
        <v>71</v>
      </c>
      <c r="D51" s="133" t="s">
        <v>92</v>
      </c>
      <c r="E51" s="124">
        <f t="shared" si="14"/>
        <v>35673465</v>
      </c>
      <c r="F51" s="130">
        <f>37332500+103165+940900-2703100</f>
        <v>35673465</v>
      </c>
      <c r="G51" s="124"/>
      <c r="H51" s="124"/>
      <c r="I51" s="124"/>
      <c r="J51" s="124">
        <f t="shared" si="15"/>
        <v>0</v>
      </c>
      <c r="K51" s="124">
        <v>0</v>
      </c>
      <c r="L51" s="124"/>
      <c r="M51" s="124"/>
      <c r="N51" s="124">
        <f t="shared" si="16"/>
        <v>0</v>
      </c>
      <c r="O51" s="124"/>
      <c r="P51" s="124">
        <f t="shared" si="17"/>
        <v>35673465</v>
      </c>
    </row>
    <row r="52" spans="1:16" s="118" customFormat="1" ht="52.5" customHeight="1">
      <c r="A52" s="132" t="s">
        <v>145</v>
      </c>
      <c r="B52" s="132" t="s">
        <v>93</v>
      </c>
      <c r="C52" s="132" t="s">
        <v>71</v>
      </c>
      <c r="D52" s="134" t="s">
        <v>94</v>
      </c>
      <c r="E52" s="124">
        <f t="shared" si="14"/>
        <v>3658843</v>
      </c>
      <c r="F52" s="130">
        <f>4188200-529357</f>
        <v>3658843</v>
      </c>
      <c r="G52" s="124"/>
      <c r="H52" s="135"/>
      <c r="I52" s="124"/>
      <c r="J52" s="124">
        <f t="shared" si="15"/>
        <v>0</v>
      </c>
      <c r="K52" s="124">
        <v>0</v>
      </c>
      <c r="L52" s="124"/>
      <c r="M52" s="124"/>
      <c r="N52" s="124">
        <f t="shared" si="16"/>
        <v>0</v>
      </c>
      <c r="O52" s="124"/>
      <c r="P52" s="124">
        <f t="shared" si="17"/>
        <v>3658843</v>
      </c>
    </row>
    <row r="53" spans="1:16" s="118" customFormat="1" ht="52.5" customHeight="1">
      <c r="A53" s="132" t="s">
        <v>146</v>
      </c>
      <c r="B53" s="132" t="s">
        <v>95</v>
      </c>
      <c r="C53" s="132" t="s">
        <v>71</v>
      </c>
      <c r="D53" s="134" t="s">
        <v>96</v>
      </c>
      <c r="E53" s="124">
        <f t="shared" si="14"/>
        <v>15542795</v>
      </c>
      <c r="F53" s="130">
        <f>24585200-254307-2920832-5012966-854300</f>
        <v>15542795</v>
      </c>
      <c r="G53" s="124"/>
      <c r="H53" s="124"/>
      <c r="I53" s="124"/>
      <c r="J53" s="124">
        <f t="shared" si="15"/>
        <v>0</v>
      </c>
      <c r="K53" s="124">
        <v>0</v>
      </c>
      <c r="L53" s="124"/>
      <c r="M53" s="124"/>
      <c r="N53" s="124">
        <f t="shared" si="16"/>
        <v>0</v>
      </c>
      <c r="O53" s="124"/>
      <c r="P53" s="124">
        <f t="shared" si="17"/>
        <v>15542795</v>
      </c>
    </row>
    <row r="54" spans="1:16" s="118" customFormat="1" ht="52.5" customHeight="1">
      <c r="A54" s="132" t="s">
        <v>147</v>
      </c>
      <c r="B54" s="132" t="s">
        <v>97</v>
      </c>
      <c r="C54" s="132" t="s">
        <v>71</v>
      </c>
      <c r="D54" s="134" t="s">
        <v>98</v>
      </c>
      <c r="E54" s="124">
        <f t="shared" si="14"/>
        <v>395130</v>
      </c>
      <c r="F54" s="130">
        <f>609500-214370</f>
        <v>395130</v>
      </c>
      <c r="G54" s="124"/>
      <c r="H54" s="124"/>
      <c r="I54" s="124"/>
      <c r="J54" s="124">
        <f t="shared" si="15"/>
        <v>0</v>
      </c>
      <c r="K54" s="124">
        <v>0</v>
      </c>
      <c r="L54" s="124"/>
      <c r="M54" s="124"/>
      <c r="N54" s="124">
        <f t="shared" si="16"/>
        <v>0</v>
      </c>
      <c r="O54" s="124"/>
      <c r="P54" s="124">
        <f t="shared" si="17"/>
        <v>395130</v>
      </c>
    </row>
    <row r="55" spans="1:16" s="118" customFormat="1" ht="54" customHeight="1">
      <c r="A55" s="132" t="s">
        <v>148</v>
      </c>
      <c r="B55" s="132" t="s">
        <v>99</v>
      </c>
      <c r="C55" s="132" t="s">
        <v>71</v>
      </c>
      <c r="D55" s="134" t="s">
        <v>101</v>
      </c>
      <c r="E55" s="124">
        <f aca="true" t="shared" si="18" ref="E55:E61">F55</f>
        <v>12246457</v>
      </c>
      <c r="F55" s="130">
        <f>15761100+6097-3520740</f>
        <v>12246457</v>
      </c>
      <c r="G55" s="124"/>
      <c r="H55" s="124"/>
      <c r="I55" s="124"/>
      <c r="J55" s="124">
        <f>K55+N55</f>
        <v>0</v>
      </c>
      <c r="K55" s="124">
        <v>0</v>
      </c>
      <c r="L55" s="124"/>
      <c r="M55" s="124"/>
      <c r="N55" s="124">
        <f>O55</f>
        <v>0</v>
      </c>
      <c r="O55" s="124"/>
      <c r="P55" s="124">
        <f aca="true" t="shared" si="19" ref="P55:P61">J55+E55</f>
        <v>12246457</v>
      </c>
    </row>
    <row r="56" spans="1:16" s="128" customFormat="1" ht="223.5" customHeight="1">
      <c r="A56" s="136" t="s">
        <v>149</v>
      </c>
      <c r="B56" s="136" t="s">
        <v>103</v>
      </c>
      <c r="C56" s="136"/>
      <c r="D56" s="121" t="s">
        <v>229</v>
      </c>
      <c r="E56" s="122">
        <f t="shared" si="18"/>
        <v>23204191</v>
      </c>
      <c r="F56" s="137">
        <f>F57+F58+F59+F61+F60</f>
        <v>23204191</v>
      </c>
      <c r="G56" s="122"/>
      <c r="H56" s="122"/>
      <c r="I56" s="122"/>
      <c r="J56" s="122">
        <f t="shared" si="15"/>
        <v>0</v>
      </c>
      <c r="K56" s="122">
        <v>0</v>
      </c>
      <c r="L56" s="122"/>
      <c r="M56" s="122"/>
      <c r="N56" s="122">
        <f t="shared" si="16"/>
        <v>0</v>
      </c>
      <c r="O56" s="122"/>
      <c r="P56" s="122">
        <f>J56+E56</f>
        <v>23204191</v>
      </c>
    </row>
    <row r="57" spans="1:16" s="128" customFormat="1" ht="76.5" customHeight="1">
      <c r="A57" s="132" t="s">
        <v>230</v>
      </c>
      <c r="B57" s="132" t="s">
        <v>234</v>
      </c>
      <c r="C57" s="132" t="s">
        <v>102</v>
      </c>
      <c r="D57" s="104" t="s">
        <v>205</v>
      </c>
      <c r="E57" s="124">
        <f t="shared" si="18"/>
        <v>16175234</v>
      </c>
      <c r="F57" s="130">
        <f>13548400+3875738-1248904</f>
        <v>16175234</v>
      </c>
      <c r="G57" s="124"/>
      <c r="H57" s="124"/>
      <c r="I57" s="124"/>
      <c r="J57" s="124">
        <v>0</v>
      </c>
      <c r="K57" s="124">
        <v>0</v>
      </c>
      <c r="L57" s="124"/>
      <c r="M57" s="124"/>
      <c r="N57" s="124">
        <v>0</v>
      </c>
      <c r="O57" s="124"/>
      <c r="P57" s="124">
        <f t="shared" si="19"/>
        <v>16175234</v>
      </c>
    </row>
    <row r="58" spans="1:16" s="128" customFormat="1" ht="75" customHeight="1">
      <c r="A58" s="132" t="s">
        <v>231</v>
      </c>
      <c r="B58" s="132" t="s">
        <v>235</v>
      </c>
      <c r="C58" s="132" t="s">
        <v>102</v>
      </c>
      <c r="D58" s="104" t="s">
        <v>238</v>
      </c>
      <c r="E58" s="124">
        <f t="shared" si="18"/>
        <v>4330370</v>
      </c>
      <c r="F58" s="130">
        <f>3871468+548632-89730</f>
        <v>4330370</v>
      </c>
      <c r="G58" s="124"/>
      <c r="H58" s="124"/>
      <c r="I58" s="124"/>
      <c r="J58" s="124">
        <v>0</v>
      </c>
      <c r="K58" s="124">
        <v>0</v>
      </c>
      <c r="L58" s="124"/>
      <c r="M58" s="124"/>
      <c r="N58" s="124">
        <v>0</v>
      </c>
      <c r="O58" s="124"/>
      <c r="P58" s="124">
        <f t="shared" si="19"/>
        <v>4330370</v>
      </c>
    </row>
    <row r="59" spans="1:16" s="128" customFormat="1" ht="73.5" customHeight="1">
      <c r="A59" s="132" t="s">
        <v>232</v>
      </c>
      <c r="B59" s="132" t="s">
        <v>236</v>
      </c>
      <c r="C59" s="132" t="s">
        <v>102</v>
      </c>
      <c r="D59" s="104" t="s">
        <v>239</v>
      </c>
      <c r="E59" s="124">
        <f t="shared" si="18"/>
        <v>2533950</v>
      </c>
      <c r="F59" s="130">
        <f>2409500+124600-150</f>
        <v>2533950</v>
      </c>
      <c r="G59" s="124"/>
      <c r="H59" s="124"/>
      <c r="I59" s="124"/>
      <c r="J59" s="124">
        <v>0</v>
      </c>
      <c r="K59" s="124">
        <v>0</v>
      </c>
      <c r="L59" s="124"/>
      <c r="M59" s="124"/>
      <c r="N59" s="124">
        <v>0</v>
      </c>
      <c r="O59" s="124"/>
      <c r="P59" s="124">
        <f t="shared" si="19"/>
        <v>2533950</v>
      </c>
    </row>
    <row r="60" spans="1:16" s="128" customFormat="1" ht="79.5" customHeight="1">
      <c r="A60" s="132" t="s">
        <v>243</v>
      </c>
      <c r="B60" s="132" t="s">
        <v>244</v>
      </c>
      <c r="C60" s="132" t="s">
        <v>102</v>
      </c>
      <c r="D60" s="104" t="s">
        <v>245</v>
      </c>
      <c r="E60" s="124">
        <f t="shared" si="18"/>
        <v>159887</v>
      </c>
      <c r="F60" s="130">
        <f>254307-94420</f>
        <v>159887</v>
      </c>
      <c r="G60" s="124"/>
      <c r="H60" s="124"/>
      <c r="I60" s="124"/>
      <c r="J60" s="124">
        <v>0</v>
      </c>
      <c r="K60" s="124">
        <v>0</v>
      </c>
      <c r="L60" s="124"/>
      <c r="M60" s="124"/>
      <c r="N60" s="124">
        <v>0</v>
      </c>
      <c r="O60" s="124"/>
      <c r="P60" s="124">
        <f t="shared" si="19"/>
        <v>159887</v>
      </c>
    </row>
    <row r="61" spans="1:16" s="128" customFormat="1" ht="105" customHeight="1">
      <c r="A61" s="132" t="s">
        <v>233</v>
      </c>
      <c r="B61" s="132" t="s">
        <v>237</v>
      </c>
      <c r="C61" s="132" t="s">
        <v>102</v>
      </c>
      <c r="D61" s="104" t="s">
        <v>240</v>
      </c>
      <c r="E61" s="124">
        <f t="shared" si="18"/>
        <v>4750</v>
      </c>
      <c r="F61" s="130">
        <f>4872-122</f>
        <v>4750</v>
      </c>
      <c r="G61" s="124"/>
      <c r="H61" s="124"/>
      <c r="I61" s="124"/>
      <c r="J61" s="124">
        <v>0</v>
      </c>
      <c r="K61" s="124">
        <v>0</v>
      </c>
      <c r="L61" s="124"/>
      <c r="M61" s="124"/>
      <c r="N61" s="124">
        <v>0</v>
      </c>
      <c r="O61" s="124"/>
      <c r="P61" s="124">
        <f t="shared" si="19"/>
        <v>4750</v>
      </c>
    </row>
    <row r="62" spans="1:16" s="128" customFormat="1" ht="103.5" customHeight="1">
      <c r="A62" s="136" t="s">
        <v>150</v>
      </c>
      <c r="B62" s="136" t="s">
        <v>106</v>
      </c>
      <c r="C62" s="136"/>
      <c r="D62" s="121" t="s">
        <v>206</v>
      </c>
      <c r="E62" s="122">
        <f t="shared" si="14"/>
        <v>9362828</v>
      </c>
      <c r="F62" s="122">
        <f>F63</f>
        <v>9362828</v>
      </c>
      <c r="G62" s="122">
        <f>G63</f>
        <v>7066767</v>
      </c>
      <c r="H62" s="122">
        <f>H63</f>
        <v>333484</v>
      </c>
      <c r="I62" s="122">
        <f>I63</f>
        <v>0</v>
      </c>
      <c r="J62" s="122">
        <f t="shared" si="15"/>
        <v>692901</v>
      </c>
      <c r="K62" s="122">
        <f>K63</f>
        <v>605455</v>
      </c>
      <c r="L62" s="122">
        <f>L63</f>
        <v>445487</v>
      </c>
      <c r="M62" s="122">
        <f>M63</f>
        <v>5809</v>
      </c>
      <c r="N62" s="122">
        <f t="shared" si="16"/>
        <v>87446</v>
      </c>
      <c r="O62" s="122">
        <f>O63</f>
        <v>87446</v>
      </c>
      <c r="P62" s="122">
        <f>E62+J62</f>
        <v>10055729</v>
      </c>
    </row>
    <row r="63" spans="1:16" s="118" customFormat="1" ht="105" customHeight="1">
      <c r="A63" s="132" t="s">
        <v>151</v>
      </c>
      <c r="B63" s="132" t="s">
        <v>107</v>
      </c>
      <c r="C63" s="132" t="s">
        <v>108</v>
      </c>
      <c r="D63" s="134" t="s">
        <v>109</v>
      </c>
      <c r="E63" s="124">
        <f t="shared" si="14"/>
        <v>9362828</v>
      </c>
      <c r="F63" s="124">
        <f>9310900+56928+3500-8500</f>
        <v>9362828</v>
      </c>
      <c r="G63" s="124">
        <f>7142709-41029-34913</f>
        <v>7066767</v>
      </c>
      <c r="H63" s="124">
        <f>307071-8500+34913</f>
        <v>333484</v>
      </c>
      <c r="I63" s="124"/>
      <c r="J63" s="124">
        <f t="shared" si="15"/>
        <v>692901</v>
      </c>
      <c r="K63" s="124">
        <v>605455</v>
      </c>
      <c r="L63" s="124">
        <f>446760-1273</f>
        <v>445487</v>
      </c>
      <c r="M63" s="124">
        <f>4536+1273</f>
        <v>5809</v>
      </c>
      <c r="N63" s="124">
        <f t="shared" si="16"/>
        <v>87446</v>
      </c>
      <c r="O63" s="124">
        <f>37446+63000-63000+8500+50000-8500</f>
        <v>87446</v>
      </c>
      <c r="P63" s="124">
        <f aca="true" t="shared" si="20" ref="P63:P71">J63+E63</f>
        <v>10055729</v>
      </c>
    </row>
    <row r="64" spans="1:16" s="128" customFormat="1" ht="132" customHeight="1">
      <c r="A64" s="136" t="s">
        <v>163</v>
      </c>
      <c r="B64" s="136" t="s">
        <v>164</v>
      </c>
      <c r="C64" s="136" t="s">
        <v>102</v>
      </c>
      <c r="D64" s="121" t="s">
        <v>241</v>
      </c>
      <c r="E64" s="122">
        <f t="shared" si="14"/>
        <v>488900</v>
      </c>
      <c r="F64" s="122">
        <v>488900</v>
      </c>
      <c r="G64" s="122"/>
      <c r="H64" s="122"/>
      <c r="I64" s="122"/>
      <c r="J64" s="122">
        <f t="shared" si="15"/>
        <v>0</v>
      </c>
      <c r="K64" s="122">
        <v>0</v>
      </c>
      <c r="L64" s="122"/>
      <c r="M64" s="122"/>
      <c r="N64" s="122">
        <f t="shared" si="16"/>
        <v>0</v>
      </c>
      <c r="O64" s="122"/>
      <c r="P64" s="122">
        <f>J64+E64</f>
        <v>488900</v>
      </c>
    </row>
    <row r="65" spans="1:16" s="118" customFormat="1" ht="234" customHeight="1">
      <c r="A65" s="132" t="s">
        <v>167</v>
      </c>
      <c r="B65" s="132" t="s">
        <v>165</v>
      </c>
      <c r="C65" s="132" t="s">
        <v>71</v>
      </c>
      <c r="D65" s="104" t="s">
        <v>208</v>
      </c>
      <c r="E65" s="124">
        <f t="shared" si="14"/>
        <v>924224</v>
      </c>
      <c r="F65" s="124">
        <f>1209950-285726</f>
        <v>924224</v>
      </c>
      <c r="G65" s="124"/>
      <c r="H65" s="124"/>
      <c r="I65" s="124"/>
      <c r="J65" s="124">
        <f>K65</f>
        <v>0</v>
      </c>
      <c r="K65" s="124">
        <v>0</v>
      </c>
      <c r="L65" s="124"/>
      <c r="M65" s="124"/>
      <c r="N65" s="124">
        <v>0</v>
      </c>
      <c r="O65" s="124"/>
      <c r="P65" s="124">
        <f t="shared" si="20"/>
        <v>924224</v>
      </c>
    </row>
    <row r="66" spans="1:16" s="128" customFormat="1" ht="52.5" customHeight="1">
      <c r="A66" s="136" t="s">
        <v>210</v>
      </c>
      <c r="B66" s="136" t="s">
        <v>211</v>
      </c>
      <c r="C66" s="136"/>
      <c r="D66" s="153" t="s">
        <v>166</v>
      </c>
      <c r="E66" s="137">
        <f t="shared" si="14"/>
        <v>429970</v>
      </c>
      <c r="F66" s="137">
        <f>F67</f>
        <v>429970</v>
      </c>
      <c r="G66" s="122"/>
      <c r="H66" s="122"/>
      <c r="I66" s="122"/>
      <c r="J66" s="122">
        <f>K66+N66</f>
        <v>0</v>
      </c>
      <c r="K66" s="122">
        <v>0</v>
      </c>
      <c r="L66" s="122"/>
      <c r="M66" s="122"/>
      <c r="N66" s="122">
        <f>O66</f>
        <v>0</v>
      </c>
      <c r="O66" s="122"/>
      <c r="P66" s="122">
        <f t="shared" si="20"/>
        <v>429970</v>
      </c>
    </row>
    <row r="67" spans="1:16" s="118" customFormat="1" ht="54" customHeight="1">
      <c r="A67" s="132" t="s">
        <v>212</v>
      </c>
      <c r="B67" s="132" t="s">
        <v>213</v>
      </c>
      <c r="C67" s="132" t="s">
        <v>79</v>
      </c>
      <c r="D67" s="126" t="s">
        <v>214</v>
      </c>
      <c r="E67" s="130">
        <f>F67</f>
        <v>429970</v>
      </c>
      <c r="F67" s="130">
        <f>417970+12000</f>
        <v>429970</v>
      </c>
      <c r="G67" s="124"/>
      <c r="H67" s="124"/>
      <c r="I67" s="124"/>
      <c r="J67" s="124">
        <v>0</v>
      </c>
      <c r="K67" s="124">
        <v>0</v>
      </c>
      <c r="L67" s="124"/>
      <c r="M67" s="124"/>
      <c r="N67" s="124">
        <v>0</v>
      </c>
      <c r="O67" s="124"/>
      <c r="P67" s="124">
        <f t="shared" si="20"/>
        <v>429970</v>
      </c>
    </row>
    <row r="68" spans="1:16" s="118" customFormat="1" ht="52.5" customHeight="1">
      <c r="A68" s="136"/>
      <c r="B68" s="136" t="s">
        <v>280</v>
      </c>
      <c r="C68" s="136"/>
      <c r="D68" s="153" t="s">
        <v>281</v>
      </c>
      <c r="E68" s="137">
        <f>E69</f>
        <v>0</v>
      </c>
      <c r="F68" s="137">
        <f aca="true" t="shared" si="21" ref="F68:P68">F69</f>
        <v>0</v>
      </c>
      <c r="G68" s="137">
        <f t="shared" si="21"/>
        <v>0</v>
      </c>
      <c r="H68" s="137">
        <f t="shared" si="21"/>
        <v>0</v>
      </c>
      <c r="I68" s="137">
        <f t="shared" si="21"/>
        <v>0</v>
      </c>
      <c r="J68" s="137">
        <f t="shared" si="21"/>
        <v>84941</v>
      </c>
      <c r="K68" s="137">
        <f t="shared" si="21"/>
        <v>0</v>
      </c>
      <c r="L68" s="137">
        <f t="shared" si="21"/>
        <v>0</v>
      </c>
      <c r="M68" s="137">
        <f t="shared" si="21"/>
        <v>0</v>
      </c>
      <c r="N68" s="137">
        <f t="shared" si="21"/>
        <v>84941</v>
      </c>
      <c r="O68" s="137">
        <f t="shared" si="21"/>
        <v>84941</v>
      </c>
      <c r="P68" s="137">
        <f t="shared" si="21"/>
        <v>84941</v>
      </c>
    </row>
    <row r="69" spans="1:16" s="128" customFormat="1" ht="52.5" customHeight="1">
      <c r="A69" s="136" t="s">
        <v>262</v>
      </c>
      <c r="B69" s="136" t="s">
        <v>263</v>
      </c>
      <c r="C69" s="136"/>
      <c r="D69" s="153" t="s">
        <v>264</v>
      </c>
      <c r="E69" s="137">
        <f>F69</f>
        <v>0</v>
      </c>
      <c r="F69" s="137">
        <f aca="true" t="shared" si="22" ref="F69:P69">F70</f>
        <v>0</v>
      </c>
      <c r="G69" s="137">
        <f t="shared" si="22"/>
        <v>0</v>
      </c>
      <c r="H69" s="137">
        <f t="shared" si="22"/>
        <v>0</v>
      </c>
      <c r="I69" s="137">
        <f t="shared" si="22"/>
        <v>0</v>
      </c>
      <c r="J69" s="137">
        <f t="shared" si="22"/>
        <v>84941</v>
      </c>
      <c r="K69" s="137">
        <f t="shared" si="22"/>
        <v>0</v>
      </c>
      <c r="L69" s="137">
        <f t="shared" si="22"/>
        <v>0</v>
      </c>
      <c r="M69" s="137">
        <f t="shared" si="22"/>
        <v>0</v>
      </c>
      <c r="N69" s="137">
        <f t="shared" si="22"/>
        <v>84941</v>
      </c>
      <c r="O69" s="122">
        <f t="shared" si="22"/>
        <v>84941</v>
      </c>
      <c r="P69" s="122">
        <f t="shared" si="22"/>
        <v>84941</v>
      </c>
    </row>
    <row r="70" spans="1:16" s="118" customFormat="1" ht="76.5" customHeight="1">
      <c r="A70" s="132" t="s">
        <v>260</v>
      </c>
      <c r="B70" s="132" t="s">
        <v>261</v>
      </c>
      <c r="C70" s="165" t="s">
        <v>268</v>
      </c>
      <c r="D70" s="126" t="s">
        <v>267</v>
      </c>
      <c r="E70" s="130">
        <f>F70</f>
        <v>0</v>
      </c>
      <c r="F70" s="130">
        <v>0</v>
      </c>
      <c r="G70" s="124">
        <v>0</v>
      </c>
      <c r="H70" s="124">
        <v>0</v>
      </c>
      <c r="I70" s="124">
        <v>0</v>
      </c>
      <c r="J70" s="124">
        <f>K70+N70</f>
        <v>84941</v>
      </c>
      <c r="K70" s="124">
        <v>0</v>
      </c>
      <c r="L70" s="124"/>
      <c r="M70" s="124"/>
      <c r="N70" s="124">
        <f>O70</f>
        <v>84941</v>
      </c>
      <c r="O70" s="124">
        <f>63000+20941+1000</f>
        <v>84941</v>
      </c>
      <c r="P70" s="124">
        <f>J70+E70</f>
        <v>84941</v>
      </c>
    </row>
    <row r="71" spans="1:16" s="128" customFormat="1" ht="73.5" customHeight="1">
      <c r="A71" s="123" t="s">
        <v>195</v>
      </c>
      <c r="B71" s="123"/>
      <c r="C71" s="123"/>
      <c r="D71" s="121" t="s">
        <v>242</v>
      </c>
      <c r="E71" s="137">
        <f t="shared" si="14"/>
        <v>2134437</v>
      </c>
      <c r="F71" s="137">
        <f>F72</f>
        <v>2134437</v>
      </c>
      <c r="G71" s="122">
        <f>G72</f>
        <v>0</v>
      </c>
      <c r="H71" s="122">
        <f>H72</f>
        <v>115371</v>
      </c>
      <c r="I71" s="122">
        <f>I72</f>
        <v>0</v>
      </c>
      <c r="J71" s="122">
        <f>K71+N71</f>
        <v>3133588</v>
      </c>
      <c r="K71" s="122">
        <f>K72</f>
        <v>22008</v>
      </c>
      <c r="L71" s="122">
        <f>L72</f>
        <v>0</v>
      </c>
      <c r="M71" s="122">
        <f>M72</f>
        <v>0</v>
      </c>
      <c r="N71" s="122">
        <f>O71</f>
        <v>3111580</v>
      </c>
      <c r="O71" s="122">
        <f>O72</f>
        <v>3111580</v>
      </c>
      <c r="P71" s="122">
        <f t="shared" si="20"/>
        <v>5268025</v>
      </c>
    </row>
    <row r="72" spans="1:16" s="118" customFormat="1" ht="72" customHeight="1">
      <c r="A72" s="120" t="s">
        <v>196</v>
      </c>
      <c r="B72" s="123"/>
      <c r="C72" s="123"/>
      <c r="D72" s="104" t="s">
        <v>242</v>
      </c>
      <c r="E72" s="130">
        <f>F72</f>
        <v>2134437</v>
      </c>
      <c r="F72" s="130">
        <f>F74+F76</f>
        <v>2134437</v>
      </c>
      <c r="G72" s="130">
        <f>G74</f>
        <v>0</v>
      </c>
      <c r="H72" s="130">
        <f>H74+H76</f>
        <v>115371</v>
      </c>
      <c r="I72" s="130">
        <f>I74</f>
        <v>0</v>
      </c>
      <c r="J72" s="130">
        <f>J74+J76</f>
        <v>3133588</v>
      </c>
      <c r="K72" s="130">
        <f>K74</f>
        <v>22008</v>
      </c>
      <c r="L72" s="130">
        <f>L74</f>
        <v>0</v>
      </c>
      <c r="M72" s="130">
        <f>M74</f>
        <v>0</v>
      </c>
      <c r="N72" s="130">
        <f>N74+N76</f>
        <v>3111580</v>
      </c>
      <c r="O72" s="124">
        <f>O74+O76</f>
        <v>3111580</v>
      </c>
      <c r="P72" s="124">
        <f>P74</f>
        <v>2579525</v>
      </c>
    </row>
    <row r="73" spans="1:16" s="118" customFormat="1" ht="54" customHeight="1">
      <c r="A73" s="197"/>
      <c r="B73" s="197" t="s">
        <v>278</v>
      </c>
      <c r="C73" s="123"/>
      <c r="D73" s="121" t="s">
        <v>279</v>
      </c>
      <c r="E73" s="137">
        <f>E74</f>
        <v>2134437</v>
      </c>
      <c r="F73" s="137">
        <f aca="true" t="shared" si="23" ref="F73:P73">F74</f>
        <v>2134437</v>
      </c>
      <c r="G73" s="137">
        <f t="shared" si="23"/>
        <v>0</v>
      </c>
      <c r="H73" s="137">
        <f t="shared" si="23"/>
        <v>115371</v>
      </c>
      <c r="I73" s="137">
        <f t="shared" si="23"/>
        <v>0</v>
      </c>
      <c r="J73" s="137">
        <f t="shared" si="23"/>
        <v>445088</v>
      </c>
      <c r="K73" s="137">
        <f t="shared" si="23"/>
        <v>22008</v>
      </c>
      <c r="L73" s="137">
        <f t="shared" si="23"/>
        <v>0</v>
      </c>
      <c r="M73" s="137">
        <f t="shared" si="23"/>
        <v>0</v>
      </c>
      <c r="N73" s="137">
        <f t="shared" si="23"/>
        <v>423080</v>
      </c>
      <c r="O73" s="137">
        <f t="shared" si="23"/>
        <v>423080</v>
      </c>
      <c r="P73" s="137">
        <f t="shared" si="23"/>
        <v>2579525</v>
      </c>
    </row>
    <row r="74" spans="1:16" s="118" customFormat="1" ht="55.5" customHeight="1">
      <c r="A74" s="154" t="s">
        <v>224</v>
      </c>
      <c r="B74" s="154" t="s">
        <v>225</v>
      </c>
      <c r="C74" s="120" t="s">
        <v>85</v>
      </c>
      <c r="D74" s="104" t="s">
        <v>250</v>
      </c>
      <c r="E74" s="130">
        <f t="shared" si="14"/>
        <v>2134437</v>
      </c>
      <c r="F74" s="130">
        <f>2598000+18000-150000-73880-34400-94413-104456-24414</f>
        <v>2134437</v>
      </c>
      <c r="G74" s="124">
        <v>0</v>
      </c>
      <c r="H74" s="124">
        <f>190986-51200-24415</f>
        <v>115371</v>
      </c>
      <c r="I74" s="124">
        <v>0</v>
      </c>
      <c r="J74" s="124">
        <f>K74+N74</f>
        <v>445088</v>
      </c>
      <c r="K74" s="124">
        <v>22008</v>
      </c>
      <c r="L74" s="124"/>
      <c r="M74" s="124"/>
      <c r="N74" s="124">
        <f>O74</f>
        <v>423080</v>
      </c>
      <c r="O74" s="124">
        <f>150000+73880+50000-3290+34400+104456+200000-186366</f>
        <v>423080</v>
      </c>
      <c r="P74" s="124">
        <f>J74+E74</f>
        <v>2579525</v>
      </c>
    </row>
    <row r="75" spans="1:16" s="118" customFormat="1" ht="51" customHeight="1">
      <c r="A75" s="156"/>
      <c r="B75" s="136" t="s">
        <v>280</v>
      </c>
      <c r="C75" s="136"/>
      <c r="D75" s="153" t="s">
        <v>281</v>
      </c>
      <c r="E75" s="137">
        <f>E76</f>
        <v>0</v>
      </c>
      <c r="F75" s="137">
        <f aca="true" t="shared" si="24" ref="F75:P75">F76</f>
        <v>0</v>
      </c>
      <c r="G75" s="137">
        <f t="shared" si="24"/>
        <v>0</v>
      </c>
      <c r="H75" s="137">
        <f t="shared" si="24"/>
        <v>0</v>
      </c>
      <c r="I75" s="137">
        <f t="shared" si="24"/>
        <v>0</v>
      </c>
      <c r="J75" s="137">
        <f t="shared" si="24"/>
        <v>2688500</v>
      </c>
      <c r="K75" s="137">
        <f t="shared" si="24"/>
        <v>0</v>
      </c>
      <c r="L75" s="137">
        <f t="shared" si="24"/>
        <v>0</v>
      </c>
      <c r="M75" s="137">
        <f t="shared" si="24"/>
        <v>0</v>
      </c>
      <c r="N75" s="137">
        <f t="shared" si="24"/>
        <v>2688500</v>
      </c>
      <c r="O75" s="137">
        <f>O76</f>
        <v>2688500</v>
      </c>
      <c r="P75" s="137">
        <f t="shared" si="24"/>
        <v>2688500</v>
      </c>
    </row>
    <row r="76" spans="1:16" s="118" customFormat="1" ht="54" customHeight="1">
      <c r="A76" s="169" t="s">
        <v>265</v>
      </c>
      <c r="B76" s="169" t="s">
        <v>263</v>
      </c>
      <c r="C76" s="170"/>
      <c r="D76" s="153" t="s">
        <v>264</v>
      </c>
      <c r="E76" s="137">
        <f>F76</f>
        <v>0</v>
      </c>
      <c r="F76" s="137">
        <f aca="true" t="shared" si="25" ref="F76:P76">F77</f>
        <v>0</v>
      </c>
      <c r="G76" s="137">
        <f t="shared" si="25"/>
        <v>0</v>
      </c>
      <c r="H76" s="137">
        <f t="shared" si="25"/>
        <v>0</v>
      </c>
      <c r="I76" s="137">
        <f t="shared" si="25"/>
        <v>0</v>
      </c>
      <c r="J76" s="137">
        <f t="shared" si="25"/>
        <v>2688500</v>
      </c>
      <c r="K76" s="137">
        <f t="shared" si="25"/>
        <v>0</v>
      </c>
      <c r="L76" s="137">
        <f t="shared" si="25"/>
        <v>0</v>
      </c>
      <c r="M76" s="137">
        <f t="shared" si="25"/>
        <v>0</v>
      </c>
      <c r="N76" s="137">
        <f t="shared" si="25"/>
        <v>2688500</v>
      </c>
      <c r="O76" s="122">
        <f t="shared" si="25"/>
        <v>2688500</v>
      </c>
      <c r="P76" s="122">
        <f t="shared" si="25"/>
        <v>2688500</v>
      </c>
    </row>
    <row r="77" spans="1:16" s="118" customFormat="1" ht="72" customHeight="1">
      <c r="A77" s="156" t="s">
        <v>266</v>
      </c>
      <c r="B77" s="156" t="s">
        <v>261</v>
      </c>
      <c r="C77" s="166" t="s">
        <v>268</v>
      </c>
      <c r="D77" s="126" t="s">
        <v>267</v>
      </c>
      <c r="E77" s="130">
        <f>F77</f>
        <v>0</v>
      </c>
      <c r="F77" s="130">
        <v>0</v>
      </c>
      <c r="G77" s="124">
        <v>0</v>
      </c>
      <c r="H77" s="124">
        <v>0</v>
      </c>
      <c r="I77" s="124">
        <v>0</v>
      </c>
      <c r="J77" s="124">
        <f>K77+N77</f>
        <v>2688500</v>
      </c>
      <c r="K77" s="124">
        <v>0</v>
      </c>
      <c r="L77" s="124"/>
      <c r="M77" s="124"/>
      <c r="N77" s="124">
        <f>O77</f>
        <v>2688500</v>
      </c>
      <c r="O77" s="124">
        <f>625210+3290+2060000</f>
        <v>2688500</v>
      </c>
      <c r="P77" s="124">
        <f>J77+E77</f>
        <v>2688500</v>
      </c>
    </row>
    <row r="78" spans="1:16" s="118" customFormat="1" ht="58.5" customHeight="1">
      <c r="A78" s="167"/>
      <c r="B78" s="168"/>
      <c r="C78" s="138"/>
      <c r="D78" s="121" t="s">
        <v>110</v>
      </c>
      <c r="E78" s="122">
        <f t="shared" si="14"/>
        <v>284929528.89</v>
      </c>
      <c r="F78" s="122">
        <f>F13+F40+F71</f>
        <v>284929528.89</v>
      </c>
      <c r="G78" s="122">
        <f>G13+G40+G71</f>
        <v>26603361</v>
      </c>
      <c r="H78" s="122">
        <f>H13+H40+H71</f>
        <v>930067</v>
      </c>
      <c r="I78" s="122">
        <f>I13+I40</f>
        <v>0</v>
      </c>
      <c r="J78" s="122">
        <f>K78+N78</f>
        <v>4536250</v>
      </c>
      <c r="K78" s="122">
        <f>K13+K40+K71</f>
        <v>638233</v>
      </c>
      <c r="L78" s="122">
        <f>L13+L40+L71</f>
        <v>445487</v>
      </c>
      <c r="M78" s="122">
        <f>M13+M40+M71</f>
        <v>5809</v>
      </c>
      <c r="N78" s="122">
        <f>O78</f>
        <v>3898017</v>
      </c>
      <c r="O78" s="122">
        <f>O13+O40+O71</f>
        <v>3898017</v>
      </c>
      <c r="P78" s="122">
        <f>E78+J78</f>
        <v>289465778.89</v>
      </c>
    </row>
    <row r="79" s="140" customFormat="1" ht="30.75">
      <c r="A79" s="155"/>
    </row>
    <row r="80" s="140" customFormat="1" ht="16.5">
      <c r="A80" s="139"/>
    </row>
    <row r="81" s="142" customFormat="1" ht="25.5">
      <c r="A81" s="139"/>
    </row>
    <row r="82" spans="1:10" ht="49.5">
      <c r="A82" s="141"/>
      <c r="C82" s="105"/>
      <c r="D82" s="106"/>
      <c r="E82" s="107"/>
      <c r="F82" s="106"/>
      <c r="H82" s="106"/>
      <c r="J82" s="108"/>
    </row>
    <row r="83" ht="15">
      <c r="A83" s="143"/>
    </row>
    <row r="84" ht="15">
      <c r="A84" s="143"/>
    </row>
    <row r="85" ht="15">
      <c r="A85" s="143"/>
    </row>
  </sheetData>
  <sheetProtection selectLockedCells="1" selectUnlockedCells="1"/>
  <mergeCells count="21">
    <mergeCell ref="F9:F11"/>
    <mergeCell ref="N9:N11"/>
    <mergeCell ref="J9:J11"/>
    <mergeCell ref="I9:I11"/>
    <mergeCell ref="A8:A11"/>
    <mergeCell ref="B8:B11"/>
    <mergeCell ref="C8:C11"/>
    <mergeCell ref="D8:D11"/>
    <mergeCell ref="G10:G11"/>
    <mergeCell ref="L9:M9"/>
    <mergeCell ref="J8:O8"/>
    <mergeCell ref="B6:P6"/>
    <mergeCell ref="P8:P11"/>
    <mergeCell ref="L10:L11"/>
    <mergeCell ref="M10:M11"/>
    <mergeCell ref="O10:O11"/>
    <mergeCell ref="G9:H9"/>
    <mergeCell ref="E8:I8"/>
    <mergeCell ref="E9:E11"/>
    <mergeCell ref="K9:K11"/>
    <mergeCell ref="H10:H11"/>
  </mergeCells>
  <printOptions/>
  <pageMargins left="0.25972222222222224" right="0" top="0.77" bottom="0.22" header="0.5118055555555555" footer="0.28"/>
  <pageSetup horizontalDpi="300" verticalDpi="300" orientation="landscape" paperSize="9" scale="25" r:id="rId1"/>
  <rowBreaks count="2" manualBreakCount="2">
    <brk id="34" max="15" man="1"/>
    <brk id="59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9"/>
  </sheetPr>
  <dimension ref="A1:Q39"/>
  <sheetViews>
    <sheetView view="pageBreakPreview" zoomScale="70" zoomScaleNormal="70" zoomScaleSheetLayoutView="70" zoomScalePageLayoutView="0" workbookViewId="0" topLeftCell="B1">
      <selection activeCell="D3" sqref="D3"/>
    </sheetView>
  </sheetViews>
  <sheetFormatPr defaultColWidth="9.140625" defaultRowHeight="12.75"/>
  <cols>
    <col min="1" max="1" width="21.00390625" style="40" customWidth="1"/>
    <col min="2" max="2" width="20.7109375" style="40" customWidth="1"/>
    <col min="3" max="3" width="20.57421875" style="40" customWidth="1"/>
    <col min="4" max="4" width="109.421875" style="40" customWidth="1"/>
    <col min="5" max="6" width="23.57421875" style="40" customWidth="1"/>
    <col min="7" max="7" width="20.421875" style="40" customWidth="1"/>
    <col min="8" max="8" width="19.7109375" style="40" customWidth="1"/>
    <col min="9" max="9" width="19.57421875" style="40" customWidth="1"/>
    <col min="10" max="16" width="9.140625" style="40" customWidth="1"/>
    <col min="17" max="17" width="12.00390625" style="40" customWidth="1"/>
    <col min="18" max="16384" width="9.140625" style="40" customWidth="1"/>
  </cols>
  <sheetData>
    <row r="1" spans="7:10" ht="29.25">
      <c r="G1" s="57" t="s">
        <v>127</v>
      </c>
      <c r="J1" s="41"/>
    </row>
    <row r="2" spans="3:10" ht="29.25">
      <c r="C2" s="42"/>
      <c r="G2" s="57" t="s">
        <v>112</v>
      </c>
      <c r="J2" s="41"/>
    </row>
    <row r="3" spans="3:10" ht="29.25">
      <c r="C3" s="42"/>
      <c r="G3" s="57" t="s">
        <v>3</v>
      </c>
      <c r="J3" s="43"/>
    </row>
    <row r="4" spans="3:10" ht="29.25">
      <c r="C4" s="42"/>
      <c r="G4" s="58" t="s">
        <v>292</v>
      </c>
      <c r="J4" s="43"/>
    </row>
    <row r="5" spans="3:10" ht="17.25" customHeight="1">
      <c r="C5" s="42"/>
      <c r="H5" s="44"/>
      <c r="J5" s="43"/>
    </row>
    <row r="6" spans="3:17" ht="37.5" customHeight="1">
      <c r="C6" s="209" t="s">
        <v>173</v>
      </c>
      <c r="D6" s="209"/>
      <c r="E6" s="209"/>
      <c r="F6" s="209"/>
      <c r="G6" s="209"/>
      <c r="H6" s="209"/>
      <c r="I6" s="209"/>
      <c r="J6" s="45"/>
      <c r="K6" s="45"/>
      <c r="L6" s="45"/>
      <c r="M6" s="45"/>
      <c r="N6" s="45"/>
      <c r="O6" s="45"/>
      <c r="P6" s="45"/>
      <c r="Q6" s="45"/>
    </row>
    <row r="7" spans="3:9" ht="22.5" customHeight="1">
      <c r="C7" s="46"/>
      <c r="D7" s="46"/>
      <c r="E7" s="46"/>
      <c r="F7" s="46"/>
      <c r="G7" s="46"/>
      <c r="H7" s="46"/>
      <c r="I7" s="47" t="s">
        <v>4</v>
      </c>
    </row>
    <row r="8" spans="1:9" ht="65.25" customHeight="1">
      <c r="A8" s="210" t="s">
        <v>113</v>
      </c>
      <c r="B8" s="211" t="s">
        <v>114</v>
      </c>
      <c r="C8" s="211" t="s">
        <v>55</v>
      </c>
      <c r="D8" s="211" t="s">
        <v>56</v>
      </c>
      <c r="E8" s="210" t="s">
        <v>115</v>
      </c>
      <c r="F8" s="210" t="s">
        <v>116</v>
      </c>
      <c r="G8" s="210" t="s">
        <v>117</v>
      </c>
      <c r="H8" s="210" t="s">
        <v>118</v>
      </c>
      <c r="I8" s="210" t="s">
        <v>119</v>
      </c>
    </row>
    <row r="9" spans="1:9" ht="53.25" customHeight="1">
      <c r="A9" s="210"/>
      <c r="B9" s="211"/>
      <c r="C9" s="211"/>
      <c r="D9" s="211"/>
      <c r="E9" s="210"/>
      <c r="F9" s="210"/>
      <c r="G9" s="210"/>
      <c r="H9" s="210"/>
      <c r="I9" s="210"/>
    </row>
    <row r="10" spans="1:9" s="50" customFormat="1" ht="18.75" customHeight="1">
      <c r="A10" s="48">
        <v>1</v>
      </c>
      <c r="B10" s="49">
        <v>2</v>
      </c>
      <c r="C10" s="48">
        <v>3</v>
      </c>
      <c r="D10" s="49">
        <v>4</v>
      </c>
      <c r="E10" s="48">
        <v>5</v>
      </c>
      <c r="F10" s="48">
        <v>6</v>
      </c>
      <c r="G10" s="48">
        <v>7</v>
      </c>
      <c r="H10" s="48">
        <v>8</v>
      </c>
      <c r="I10" s="48">
        <v>9</v>
      </c>
    </row>
    <row r="11" spans="1:9" s="50" customFormat="1" ht="33.75" customHeight="1">
      <c r="A11" s="157" t="s">
        <v>131</v>
      </c>
      <c r="B11" s="157"/>
      <c r="C11" s="157"/>
      <c r="D11" s="145" t="s">
        <v>66</v>
      </c>
      <c r="E11" s="48"/>
      <c r="F11" s="183">
        <f>SUM(F12)</f>
        <v>614050</v>
      </c>
      <c r="G11" s="184"/>
      <c r="H11" s="184"/>
      <c r="I11" s="183">
        <f>SUM(I12)</f>
        <v>614050</v>
      </c>
    </row>
    <row r="12" spans="1:9" s="50" customFormat="1" ht="30.75" customHeight="1">
      <c r="A12" s="157" t="s">
        <v>132</v>
      </c>
      <c r="B12" s="158"/>
      <c r="C12" s="158"/>
      <c r="D12" s="159" t="s">
        <v>66</v>
      </c>
      <c r="E12" s="48"/>
      <c r="F12" s="185">
        <f>F13+F14</f>
        <v>614050</v>
      </c>
      <c r="G12" s="184"/>
      <c r="H12" s="184"/>
      <c r="I12" s="185">
        <f>F12</f>
        <v>614050</v>
      </c>
    </row>
    <row r="13" spans="1:9" s="50" customFormat="1" ht="48.75" customHeight="1">
      <c r="A13" s="160" t="s">
        <v>134</v>
      </c>
      <c r="B13" s="160" t="s">
        <v>135</v>
      </c>
      <c r="C13" s="160" t="s">
        <v>67</v>
      </c>
      <c r="D13" s="161" t="s">
        <v>133</v>
      </c>
      <c r="E13" s="92" t="s">
        <v>120</v>
      </c>
      <c r="F13" s="185">
        <f>139500+104550</f>
        <v>244050</v>
      </c>
      <c r="G13" s="184"/>
      <c r="H13" s="184"/>
      <c r="I13" s="185">
        <f>F13</f>
        <v>244050</v>
      </c>
    </row>
    <row r="14" spans="1:9" s="50" customFormat="1" ht="66.75" customHeight="1">
      <c r="A14" s="157" t="s">
        <v>285</v>
      </c>
      <c r="B14" s="157" t="s">
        <v>184</v>
      </c>
      <c r="C14" s="157" t="s">
        <v>286</v>
      </c>
      <c r="D14" s="159" t="s">
        <v>287</v>
      </c>
      <c r="E14" s="92" t="s">
        <v>120</v>
      </c>
      <c r="F14" s="185">
        <v>370000</v>
      </c>
      <c r="G14" s="184"/>
      <c r="H14" s="184"/>
      <c r="I14" s="185">
        <f>F14</f>
        <v>370000</v>
      </c>
    </row>
    <row r="15" spans="1:9" ht="48" customHeight="1">
      <c r="A15" s="87" t="s">
        <v>139</v>
      </c>
      <c r="B15" s="87"/>
      <c r="C15" s="87"/>
      <c r="D15" s="88" t="s">
        <v>86</v>
      </c>
      <c r="E15" s="89"/>
      <c r="F15" s="177">
        <f>F16</f>
        <v>172387</v>
      </c>
      <c r="G15" s="178"/>
      <c r="H15" s="178"/>
      <c r="I15" s="177">
        <f>I16</f>
        <v>172387</v>
      </c>
    </row>
    <row r="16" spans="1:9" ht="51.75" customHeight="1">
      <c r="A16" s="87" t="s">
        <v>140</v>
      </c>
      <c r="B16" s="90"/>
      <c r="C16" s="90"/>
      <c r="D16" s="91" t="s">
        <v>86</v>
      </c>
      <c r="E16" s="89"/>
      <c r="F16" s="179">
        <f>F17+F27</f>
        <v>172387</v>
      </c>
      <c r="G16" s="178"/>
      <c r="H16" s="178"/>
      <c r="I16" s="179">
        <f>I17+I27</f>
        <v>172387</v>
      </c>
    </row>
    <row r="17" spans="1:9" ht="69.75" customHeight="1">
      <c r="A17" s="144" t="s">
        <v>150</v>
      </c>
      <c r="B17" s="144" t="s">
        <v>106</v>
      </c>
      <c r="C17" s="144"/>
      <c r="D17" s="145" t="s">
        <v>206</v>
      </c>
      <c r="E17" s="92"/>
      <c r="F17" s="177">
        <f>F26</f>
        <v>87446</v>
      </c>
      <c r="G17" s="178"/>
      <c r="H17" s="178"/>
      <c r="I17" s="177">
        <f>I26</f>
        <v>87446</v>
      </c>
    </row>
    <row r="18" spans="1:9" ht="46.5" customHeight="1" hidden="1">
      <c r="A18" s="146" t="s">
        <v>151</v>
      </c>
      <c r="B18" s="146" t="s">
        <v>107</v>
      </c>
      <c r="C18" s="146" t="s">
        <v>108</v>
      </c>
      <c r="D18" s="147" t="s">
        <v>109</v>
      </c>
      <c r="E18" s="92" t="s">
        <v>120</v>
      </c>
      <c r="F18" s="178"/>
      <c r="G18" s="178"/>
      <c r="H18" s="178"/>
      <c r="I18" s="178"/>
    </row>
    <row r="19" spans="1:9" s="51" customFormat="1" ht="43.5" customHeight="1" hidden="1">
      <c r="A19" s="144" t="s">
        <v>150</v>
      </c>
      <c r="B19" s="144" t="s">
        <v>106</v>
      </c>
      <c r="C19" s="144"/>
      <c r="D19" s="145" t="s">
        <v>223</v>
      </c>
      <c r="E19" s="92" t="s">
        <v>120</v>
      </c>
      <c r="F19" s="186"/>
      <c r="G19" s="186"/>
      <c r="H19" s="186"/>
      <c r="I19" s="186"/>
    </row>
    <row r="20" spans="1:9" ht="45.75" customHeight="1" hidden="1">
      <c r="A20" s="146" t="s">
        <v>151</v>
      </c>
      <c r="B20" s="146" t="s">
        <v>107</v>
      </c>
      <c r="C20" s="146" t="s">
        <v>108</v>
      </c>
      <c r="D20" s="147" t="s">
        <v>109</v>
      </c>
      <c r="E20" s="92" t="s">
        <v>120</v>
      </c>
      <c r="F20" s="187"/>
      <c r="G20" s="187"/>
      <c r="H20" s="187"/>
      <c r="I20" s="187"/>
    </row>
    <row r="21" spans="1:9" s="51" customFormat="1" ht="50.25" customHeight="1" hidden="1">
      <c r="A21" s="144" t="s">
        <v>150</v>
      </c>
      <c r="B21" s="144" t="s">
        <v>106</v>
      </c>
      <c r="C21" s="144"/>
      <c r="D21" s="145" t="s">
        <v>223</v>
      </c>
      <c r="E21" s="92" t="s">
        <v>120</v>
      </c>
      <c r="F21" s="186"/>
      <c r="G21" s="186"/>
      <c r="H21" s="186"/>
      <c r="I21" s="186"/>
    </row>
    <row r="22" spans="1:9" s="52" customFormat="1" ht="39.75" customHeight="1" hidden="1">
      <c r="A22" s="146" t="s">
        <v>151</v>
      </c>
      <c r="B22" s="146" t="s">
        <v>107</v>
      </c>
      <c r="C22" s="146" t="s">
        <v>108</v>
      </c>
      <c r="D22" s="147" t="s">
        <v>109</v>
      </c>
      <c r="E22" s="92" t="s">
        <v>120</v>
      </c>
      <c r="F22" s="177">
        <f>F23</f>
        <v>231080</v>
      </c>
      <c r="G22" s="186"/>
      <c r="H22" s="186"/>
      <c r="I22" s="177">
        <f>I23</f>
        <v>231080</v>
      </c>
    </row>
    <row r="23" spans="1:9" s="52" customFormat="1" ht="39.75" customHeight="1" hidden="1">
      <c r="A23" s="144" t="s">
        <v>150</v>
      </c>
      <c r="B23" s="144" t="s">
        <v>106</v>
      </c>
      <c r="C23" s="144"/>
      <c r="D23" s="145" t="s">
        <v>223</v>
      </c>
      <c r="E23" s="92" t="s">
        <v>120</v>
      </c>
      <c r="F23" s="179">
        <f>F24</f>
        <v>231080</v>
      </c>
      <c r="G23" s="186"/>
      <c r="H23" s="186"/>
      <c r="I23" s="179">
        <f>I24</f>
        <v>231080</v>
      </c>
    </row>
    <row r="24" spans="1:9" s="52" customFormat="1" ht="39.75" customHeight="1" hidden="1">
      <c r="A24" s="146" t="s">
        <v>151</v>
      </c>
      <c r="B24" s="146" t="s">
        <v>107</v>
      </c>
      <c r="C24" s="146" t="s">
        <v>108</v>
      </c>
      <c r="D24" s="147" t="s">
        <v>109</v>
      </c>
      <c r="E24" s="92" t="s">
        <v>120</v>
      </c>
      <c r="F24" s="188">
        <f>SUM(F25)</f>
        <v>231080</v>
      </c>
      <c r="G24" s="186"/>
      <c r="H24" s="186"/>
      <c r="I24" s="188">
        <f>SUM(I25)</f>
        <v>231080</v>
      </c>
    </row>
    <row r="25" spans="1:9" s="52" customFormat="1" ht="2.25" customHeight="1" hidden="1">
      <c r="A25" s="144" t="s">
        <v>150</v>
      </c>
      <c r="B25" s="144" t="s">
        <v>106</v>
      </c>
      <c r="C25" s="144"/>
      <c r="D25" s="145" t="s">
        <v>223</v>
      </c>
      <c r="E25" s="92" t="s">
        <v>120</v>
      </c>
      <c r="F25" s="189">
        <v>231080</v>
      </c>
      <c r="G25" s="186"/>
      <c r="H25" s="186"/>
      <c r="I25" s="189">
        <v>231080</v>
      </c>
    </row>
    <row r="26" spans="1:9" s="52" customFormat="1" ht="50.25" customHeight="1">
      <c r="A26" s="146" t="s">
        <v>151</v>
      </c>
      <c r="B26" s="146" t="s">
        <v>107</v>
      </c>
      <c r="C26" s="146" t="s">
        <v>108</v>
      </c>
      <c r="D26" s="147" t="s">
        <v>109</v>
      </c>
      <c r="E26" s="92" t="s">
        <v>120</v>
      </c>
      <c r="F26" s="189">
        <f>37446+8500+50000-8500</f>
        <v>87446</v>
      </c>
      <c r="G26" s="186"/>
      <c r="H26" s="186"/>
      <c r="I26" s="189">
        <f>F26</f>
        <v>87446</v>
      </c>
    </row>
    <row r="27" spans="1:9" s="52" customFormat="1" ht="32.25" customHeight="1">
      <c r="A27" s="144" t="s">
        <v>262</v>
      </c>
      <c r="B27" s="144" t="s">
        <v>263</v>
      </c>
      <c r="C27" s="144"/>
      <c r="D27" s="171" t="s">
        <v>264</v>
      </c>
      <c r="E27" s="92"/>
      <c r="F27" s="188">
        <f>F28</f>
        <v>84941</v>
      </c>
      <c r="G27" s="186"/>
      <c r="H27" s="186"/>
      <c r="I27" s="188">
        <f>I28</f>
        <v>84941</v>
      </c>
    </row>
    <row r="28" spans="1:9" s="52" customFormat="1" ht="47.25" customHeight="1">
      <c r="A28" s="146" t="s">
        <v>260</v>
      </c>
      <c r="B28" s="146" t="s">
        <v>261</v>
      </c>
      <c r="C28" s="172" t="s">
        <v>268</v>
      </c>
      <c r="D28" s="161" t="s">
        <v>267</v>
      </c>
      <c r="E28" s="92" t="s">
        <v>120</v>
      </c>
      <c r="F28" s="189">
        <f>63000+20941+1000</f>
        <v>84941</v>
      </c>
      <c r="G28" s="186"/>
      <c r="H28" s="186"/>
      <c r="I28" s="189">
        <f>F28</f>
        <v>84941</v>
      </c>
    </row>
    <row r="29" spans="1:9" s="52" customFormat="1" ht="49.5" customHeight="1">
      <c r="A29" s="158" t="s">
        <v>195</v>
      </c>
      <c r="B29" s="158"/>
      <c r="C29" s="158"/>
      <c r="D29" s="145" t="s">
        <v>242</v>
      </c>
      <c r="E29" s="92"/>
      <c r="F29" s="188">
        <f>F30</f>
        <v>3111580</v>
      </c>
      <c r="G29" s="186"/>
      <c r="H29" s="186"/>
      <c r="I29" s="188">
        <f>I30</f>
        <v>3111580</v>
      </c>
    </row>
    <row r="30" spans="1:9" s="52" customFormat="1" ht="49.5" customHeight="1">
      <c r="A30" s="157" t="s">
        <v>196</v>
      </c>
      <c r="B30" s="158"/>
      <c r="C30" s="158"/>
      <c r="D30" s="159" t="s">
        <v>242</v>
      </c>
      <c r="E30" s="92"/>
      <c r="F30" s="189">
        <f>F31+F32</f>
        <v>3111580</v>
      </c>
      <c r="G30" s="186"/>
      <c r="H30" s="186"/>
      <c r="I30" s="189">
        <f>I31+I32</f>
        <v>3111580</v>
      </c>
    </row>
    <row r="31" spans="1:9" s="52" customFormat="1" ht="45.75" customHeight="1">
      <c r="A31" s="162" t="s">
        <v>224</v>
      </c>
      <c r="B31" s="157" t="s">
        <v>225</v>
      </c>
      <c r="C31" s="157" t="s">
        <v>85</v>
      </c>
      <c r="D31" s="159" t="s">
        <v>250</v>
      </c>
      <c r="E31" s="92" t="s">
        <v>120</v>
      </c>
      <c r="F31" s="189">
        <f>150000+50000+73880-3290+34400+104456+200000-186366</f>
        <v>423080</v>
      </c>
      <c r="G31" s="186"/>
      <c r="H31" s="186"/>
      <c r="I31" s="189">
        <f>F31</f>
        <v>423080</v>
      </c>
    </row>
    <row r="32" spans="1:9" s="52" customFormat="1" ht="34.5" customHeight="1">
      <c r="A32" s="173" t="s">
        <v>265</v>
      </c>
      <c r="B32" s="173" t="s">
        <v>263</v>
      </c>
      <c r="C32" s="174"/>
      <c r="D32" s="171" t="s">
        <v>264</v>
      </c>
      <c r="E32" s="92"/>
      <c r="F32" s="189">
        <f>F33</f>
        <v>2688500</v>
      </c>
      <c r="G32" s="186"/>
      <c r="H32" s="186"/>
      <c r="I32" s="189">
        <f>I33</f>
        <v>2688500</v>
      </c>
    </row>
    <row r="33" spans="1:9" s="52" customFormat="1" ht="47.25" customHeight="1">
      <c r="A33" s="175" t="s">
        <v>266</v>
      </c>
      <c r="B33" s="175" t="s">
        <v>261</v>
      </c>
      <c r="C33" s="176" t="s">
        <v>268</v>
      </c>
      <c r="D33" s="161" t="s">
        <v>267</v>
      </c>
      <c r="E33" s="92" t="s">
        <v>120</v>
      </c>
      <c r="F33" s="189">
        <f>625210+3290+2060000</f>
        <v>2688500</v>
      </c>
      <c r="G33" s="186"/>
      <c r="H33" s="186"/>
      <c r="I33" s="189">
        <f>F33</f>
        <v>2688500</v>
      </c>
    </row>
    <row r="34" spans="1:9" ht="30" customHeight="1">
      <c r="A34" s="93"/>
      <c r="B34" s="93"/>
      <c r="C34" s="87"/>
      <c r="D34" s="94" t="s">
        <v>7</v>
      </c>
      <c r="E34" s="95"/>
      <c r="F34" s="178"/>
      <c r="G34" s="186"/>
      <c r="H34" s="186"/>
      <c r="I34" s="177">
        <f>I15+I11+I29</f>
        <v>3898017</v>
      </c>
    </row>
    <row r="35" spans="3:9" ht="12.75">
      <c r="C35" s="53"/>
      <c r="D35" s="53"/>
      <c r="E35" s="53"/>
      <c r="F35" s="53"/>
      <c r="G35" s="53"/>
      <c r="H35" s="53"/>
      <c r="I35" s="53"/>
    </row>
    <row r="38" spans="3:9" s="54" customFormat="1" ht="19.5">
      <c r="C38" s="40"/>
      <c r="D38" s="40"/>
      <c r="E38" s="40"/>
      <c r="F38" s="40"/>
      <c r="G38" s="40"/>
      <c r="H38" s="40"/>
      <c r="I38" s="40"/>
    </row>
    <row r="39" spans="3:9" ht="19.5">
      <c r="C39" s="54"/>
      <c r="D39" s="54"/>
      <c r="E39" s="54"/>
      <c r="F39" s="54"/>
      <c r="G39" s="54"/>
      <c r="H39" s="54"/>
      <c r="I39" s="54"/>
    </row>
  </sheetData>
  <sheetProtection selectLockedCells="1" selectUnlockedCells="1"/>
  <mergeCells count="10">
    <mergeCell ref="C6:I6"/>
    <mergeCell ref="A8:A9"/>
    <mergeCell ref="B8:B9"/>
    <mergeCell ref="C8:C9"/>
    <mergeCell ref="D8:D9"/>
    <mergeCell ref="E8:E9"/>
    <mergeCell ref="F8:F9"/>
    <mergeCell ref="G8:G9"/>
    <mergeCell ref="H8:H9"/>
    <mergeCell ref="I8:I9"/>
  </mergeCells>
  <printOptions/>
  <pageMargins left="0.30972222222222223" right="0.19652777777777777" top="0.6097222222222223" bottom="0.2361111111111111" header="0.5118055555555555" footer="0.5118055555555555"/>
  <pageSetup horizontalDpi="300" verticalDpi="3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P64"/>
  <sheetViews>
    <sheetView tabSelected="1" view="pageBreakPreview" zoomScale="40" zoomScaleNormal="90" zoomScaleSheetLayoutView="40" zoomScalePageLayoutView="0" workbookViewId="0" topLeftCell="A1">
      <selection activeCell="E4" sqref="E4"/>
    </sheetView>
  </sheetViews>
  <sheetFormatPr defaultColWidth="9.140625" defaultRowHeight="12.75"/>
  <cols>
    <col min="1" max="1" width="34.421875" style="40" customWidth="1"/>
    <col min="2" max="2" width="27.421875" style="40" customWidth="1"/>
    <col min="3" max="3" width="19.7109375" style="40" customWidth="1"/>
    <col min="4" max="4" width="169.140625" style="40" customWidth="1"/>
    <col min="5" max="5" width="109.7109375" style="40" customWidth="1"/>
    <col min="6" max="6" width="28.28125" style="40" customWidth="1"/>
    <col min="7" max="7" width="29.57421875" style="40" customWidth="1"/>
    <col min="8" max="8" width="36.7109375" style="40" customWidth="1"/>
    <col min="9" max="15" width="9.140625" style="40" customWidth="1"/>
    <col min="16" max="16" width="12.00390625" style="40" customWidth="1"/>
    <col min="17" max="16384" width="9.140625" style="40" customWidth="1"/>
  </cols>
  <sheetData>
    <row r="1" spans="7:9" ht="48">
      <c r="G1" s="63" t="s">
        <v>126</v>
      </c>
      <c r="I1" s="41"/>
    </row>
    <row r="2" spans="7:9" ht="48">
      <c r="G2" s="63" t="s">
        <v>112</v>
      </c>
      <c r="I2" s="41"/>
    </row>
    <row r="3" spans="7:9" ht="48">
      <c r="G3" s="63" t="s">
        <v>3</v>
      </c>
      <c r="I3" s="43"/>
    </row>
    <row r="4" spans="7:9" ht="48">
      <c r="G4" s="66" t="s">
        <v>289</v>
      </c>
      <c r="I4" s="43"/>
    </row>
    <row r="5" ht="32.25" customHeight="1"/>
    <row r="6" spans="1:16" ht="49.5">
      <c r="A6" s="212" t="s">
        <v>174</v>
      </c>
      <c r="B6" s="212"/>
      <c r="C6" s="212"/>
      <c r="D6" s="212"/>
      <c r="E6" s="212"/>
      <c r="F6" s="212"/>
      <c r="G6" s="212"/>
      <c r="H6" s="212"/>
      <c r="I6" s="45"/>
      <c r="J6" s="45"/>
      <c r="K6" s="45"/>
      <c r="L6" s="45"/>
      <c r="M6" s="45"/>
      <c r="N6" s="45"/>
      <c r="O6" s="45"/>
      <c r="P6" s="45"/>
    </row>
    <row r="7" ht="34.5" customHeight="1"/>
    <row r="8" spans="5:8" ht="30.75">
      <c r="E8" s="46"/>
      <c r="F8" s="46"/>
      <c r="G8" s="46"/>
      <c r="H8" s="86" t="s">
        <v>4</v>
      </c>
    </row>
    <row r="9" spans="1:8" ht="41.25" customHeight="1">
      <c r="A9" s="213" t="s">
        <v>113</v>
      </c>
      <c r="B9" s="214" t="s">
        <v>114</v>
      </c>
      <c r="C9" s="214" t="s">
        <v>55</v>
      </c>
      <c r="D9" s="214" t="s">
        <v>56</v>
      </c>
      <c r="E9" s="213" t="s">
        <v>121</v>
      </c>
      <c r="F9" s="213" t="s">
        <v>8</v>
      </c>
      <c r="G9" s="213" t="s">
        <v>9</v>
      </c>
      <c r="H9" s="213" t="s">
        <v>122</v>
      </c>
    </row>
    <row r="10" spans="1:8" ht="150.75" customHeight="1">
      <c r="A10" s="213"/>
      <c r="B10" s="214"/>
      <c r="C10" s="214"/>
      <c r="D10" s="214"/>
      <c r="E10" s="213"/>
      <c r="F10" s="213"/>
      <c r="G10" s="213"/>
      <c r="H10" s="213"/>
    </row>
    <row r="11" spans="1:8" s="55" customFormat="1" ht="23.25" customHeight="1">
      <c r="A11" s="79">
        <v>1</v>
      </c>
      <c r="B11" s="79">
        <v>2</v>
      </c>
      <c r="C11" s="79">
        <v>3</v>
      </c>
      <c r="D11" s="79">
        <v>4</v>
      </c>
      <c r="E11" s="76">
        <v>5</v>
      </c>
      <c r="F11" s="76">
        <v>6</v>
      </c>
      <c r="G11" s="76">
        <v>7</v>
      </c>
      <c r="H11" s="76">
        <v>8</v>
      </c>
    </row>
    <row r="12" spans="1:8" ht="133.5" customHeight="1">
      <c r="A12" s="38"/>
      <c r="B12" s="38"/>
      <c r="C12" s="76"/>
      <c r="D12" s="77"/>
      <c r="E12" s="78" t="s">
        <v>252</v>
      </c>
      <c r="F12" s="190">
        <f>F13+F18</f>
        <v>1177100</v>
      </c>
      <c r="G12" s="190">
        <f>G13+G18</f>
        <v>0</v>
      </c>
      <c r="H12" s="190">
        <f>F12+G12</f>
        <v>1177100</v>
      </c>
    </row>
    <row r="13" spans="1:8" ht="44.25" customHeight="1">
      <c r="A13" s="38" t="s">
        <v>131</v>
      </c>
      <c r="B13" s="38"/>
      <c r="C13" s="36"/>
      <c r="D13" s="37" t="s">
        <v>66</v>
      </c>
      <c r="E13" s="78"/>
      <c r="F13" s="190">
        <f>F14</f>
        <v>258230</v>
      </c>
      <c r="G13" s="190">
        <f>G14</f>
        <v>0</v>
      </c>
      <c r="H13" s="190">
        <f>F13+G13</f>
        <v>258230</v>
      </c>
    </row>
    <row r="14" spans="1:8" ht="42.75" customHeight="1">
      <c r="A14" s="36" t="s">
        <v>132</v>
      </c>
      <c r="B14" s="38"/>
      <c r="C14" s="38"/>
      <c r="D14" s="16" t="s">
        <v>66</v>
      </c>
      <c r="E14" s="78"/>
      <c r="F14" s="191">
        <f>F16+F15</f>
        <v>258230</v>
      </c>
      <c r="G14" s="191">
        <v>0</v>
      </c>
      <c r="H14" s="191">
        <f>F14+G14</f>
        <v>258230</v>
      </c>
    </row>
    <row r="15" spans="1:8" ht="45.75" customHeight="1">
      <c r="A15" s="125" t="s">
        <v>221</v>
      </c>
      <c r="B15" s="125" t="s">
        <v>222</v>
      </c>
      <c r="C15" s="125" t="s">
        <v>104</v>
      </c>
      <c r="D15" s="129" t="s">
        <v>105</v>
      </c>
      <c r="E15" s="78"/>
      <c r="F15" s="192">
        <f>96900-15000</f>
        <v>81900</v>
      </c>
      <c r="G15" s="192">
        <v>0</v>
      </c>
      <c r="H15" s="191">
        <f>F15+G15</f>
        <v>81900</v>
      </c>
    </row>
    <row r="16" spans="1:8" s="51" customFormat="1" ht="45.75" customHeight="1">
      <c r="A16" s="123" t="s">
        <v>215</v>
      </c>
      <c r="B16" s="123" t="s">
        <v>211</v>
      </c>
      <c r="C16" s="123"/>
      <c r="D16" s="153" t="s">
        <v>166</v>
      </c>
      <c r="E16" s="78"/>
      <c r="F16" s="190">
        <f>F17</f>
        <v>176330</v>
      </c>
      <c r="G16" s="190">
        <f>G17</f>
        <v>0</v>
      </c>
      <c r="H16" s="190">
        <f>H17</f>
        <v>176330</v>
      </c>
    </row>
    <row r="17" spans="1:8" ht="47.25" customHeight="1">
      <c r="A17" s="120" t="s">
        <v>216</v>
      </c>
      <c r="B17" s="120" t="s">
        <v>213</v>
      </c>
      <c r="C17" s="120" t="s">
        <v>79</v>
      </c>
      <c r="D17" s="126" t="s">
        <v>214</v>
      </c>
      <c r="E17" s="81"/>
      <c r="F17" s="191">
        <v>176330</v>
      </c>
      <c r="G17" s="191">
        <v>0</v>
      </c>
      <c r="H17" s="191">
        <f>F17+G17</f>
        <v>176330</v>
      </c>
    </row>
    <row r="18" spans="1:8" ht="65.25" customHeight="1">
      <c r="A18" s="38" t="s">
        <v>139</v>
      </c>
      <c r="B18" s="36"/>
      <c r="C18" s="36"/>
      <c r="D18" s="37" t="s">
        <v>86</v>
      </c>
      <c r="E18" s="78"/>
      <c r="F18" s="193">
        <f>F19</f>
        <v>918870</v>
      </c>
      <c r="G18" s="193">
        <f>G19</f>
        <v>0</v>
      </c>
      <c r="H18" s="193">
        <f>H19</f>
        <v>918870</v>
      </c>
    </row>
    <row r="19" spans="1:8" ht="65.25" customHeight="1">
      <c r="A19" s="36" t="s">
        <v>140</v>
      </c>
      <c r="B19" s="38"/>
      <c r="C19" s="38"/>
      <c r="D19" s="16" t="s">
        <v>86</v>
      </c>
      <c r="E19" s="78"/>
      <c r="F19" s="192">
        <f>F20+F21</f>
        <v>918870</v>
      </c>
      <c r="G19" s="192">
        <f>G20+G21</f>
        <v>0</v>
      </c>
      <c r="H19" s="192">
        <f>H20+H21</f>
        <v>918870</v>
      </c>
    </row>
    <row r="20" spans="1:8" ht="95.25" customHeight="1">
      <c r="A20" s="136" t="s">
        <v>163</v>
      </c>
      <c r="B20" s="136" t="s">
        <v>164</v>
      </c>
      <c r="C20" s="136"/>
      <c r="D20" s="121" t="s">
        <v>241</v>
      </c>
      <c r="E20" s="78"/>
      <c r="F20" s="193">
        <v>488900</v>
      </c>
      <c r="G20" s="193">
        <v>0</v>
      </c>
      <c r="H20" s="193">
        <f>F20+G20</f>
        <v>488900</v>
      </c>
    </row>
    <row r="21" spans="1:8" ht="48.75" customHeight="1">
      <c r="A21" s="123" t="s">
        <v>210</v>
      </c>
      <c r="B21" s="123" t="s">
        <v>211</v>
      </c>
      <c r="C21" s="123"/>
      <c r="D21" s="153" t="s">
        <v>166</v>
      </c>
      <c r="E21" s="78"/>
      <c r="F21" s="193">
        <f>F22</f>
        <v>429970</v>
      </c>
      <c r="G21" s="193">
        <v>0</v>
      </c>
      <c r="H21" s="193">
        <f>F21+G21</f>
        <v>429970</v>
      </c>
    </row>
    <row r="22" spans="1:8" ht="48.75" customHeight="1">
      <c r="A22" s="120" t="s">
        <v>212</v>
      </c>
      <c r="B22" s="120" t="s">
        <v>213</v>
      </c>
      <c r="C22" s="120" t="s">
        <v>79</v>
      </c>
      <c r="D22" s="126" t="s">
        <v>214</v>
      </c>
      <c r="E22" s="78"/>
      <c r="F22" s="192">
        <f>417970+12000</f>
        <v>429970</v>
      </c>
      <c r="G22" s="192">
        <v>0</v>
      </c>
      <c r="H22" s="192">
        <f>F22+G22</f>
        <v>429970</v>
      </c>
    </row>
    <row r="23" spans="1:8" ht="129.75" customHeight="1">
      <c r="A23" s="38" t="s">
        <v>131</v>
      </c>
      <c r="B23" s="38"/>
      <c r="C23" s="36"/>
      <c r="D23" s="37" t="s">
        <v>66</v>
      </c>
      <c r="E23" s="78" t="s">
        <v>253</v>
      </c>
      <c r="F23" s="193">
        <f>F24</f>
        <v>161177</v>
      </c>
      <c r="G23" s="193">
        <f>G24</f>
        <v>370000</v>
      </c>
      <c r="H23" s="193">
        <f aca="true" t="shared" si="0" ref="H23:H37">F23+G23</f>
        <v>531177</v>
      </c>
    </row>
    <row r="24" spans="1:8" ht="48" customHeight="1">
      <c r="A24" s="36" t="s">
        <v>132</v>
      </c>
      <c r="B24" s="38"/>
      <c r="C24" s="38"/>
      <c r="D24" s="16" t="s">
        <v>66</v>
      </c>
      <c r="E24" s="78"/>
      <c r="F24" s="192">
        <f>F25+F26+F28</f>
        <v>161177</v>
      </c>
      <c r="G24" s="192">
        <f>G26+G28+G25</f>
        <v>370000</v>
      </c>
      <c r="H24" s="192">
        <f t="shared" si="0"/>
        <v>531177</v>
      </c>
    </row>
    <row r="25" spans="1:8" ht="108" customHeight="1">
      <c r="A25" s="36" t="s">
        <v>285</v>
      </c>
      <c r="B25" s="36" t="s">
        <v>184</v>
      </c>
      <c r="C25" s="36" t="s">
        <v>286</v>
      </c>
      <c r="D25" s="16" t="s">
        <v>287</v>
      </c>
      <c r="E25" s="81"/>
      <c r="F25" s="192">
        <v>130000</v>
      </c>
      <c r="G25" s="192">
        <v>370000</v>
      </c>
      <c r="H25" s="192">
        <f t="shared" si="0"/>
        <v>500000</v>
      </c>
    </row>
    <row r="26" spans="1:8" ht="48.75" customHeight="1">
      <c r="A26" s="38" t="s">
        <v>152</v>
      </c>
      <c r="B26" s="38" t="s">
        <v>68</v>
      </c>
      <c r="C26" s="38"/>
      <c r="D26" s="37" t="s">
        <v>69</v>
      </c>
      <c r="E26" s="78"/>
      <c r="F26" s="193">
        <f>F27</f>
        <v>18277</v>
      </c>
      <c r="G26" s="193">
        <f>G27</f>
        <v>0</v>
      </c>
      <c r="H26" s="193">
        <f t="shared" si="0"/>
        <v>18277</v>
      </c>
    </row>
    <row r="27" spans="1:8" ht="51.75" customHeight="1">
      <c r="A27" s="36" t="s">
        <v>153</v>
      </c>
      <c r="B27" s="36" t="s">
        <v>70</v>
      </c>
      <c r="C27" s="36" t="s">
        <v>71</v>
      </c>
      <c r="D27" s="16" t="s">
        <v>72</v>
      </c>
      <c r="E27" s="78"/>
      <c r="F27" s="194">
        <f>29900-12900+1277</f>
        <v>18277</v>
      </c>
      <c r="G27" s="192">
        <v>0</v>
      </c>
      <c r="H27" s="192">
        <f t="shared" si="0"/>
        <v>18277</v>
      </c>
    </row>
    <row r="28" spans="1:8" ht="95.25" customHeight="1">
      <c r="A28" s="36" t="s">
        <v>247</v>
      </c>
      <c r="B28" s="36" t="s">
        <v>248</v>
      </c>
      <c r="C28" s="36" t="s">
        <v>71</v>
      </c>
      <c r="D28" s="16" t="s">
        <v>249</v>
      </c>
      <c r="E28" s="78"/>
      <c r="F28" s="194">
        <v>12900</v>
      </c>
      <c r="G28" s="192">
        <v>0</v>
      </c>
      <c r="H28" s="192">
        <f>F28+G28</f>
        <v>12900</v>
      </c>
    </row>
    <row r="29" spans="1:8" ht="129.75" customHeight="1">
      <c r="A29" s="38" t="s">
        <v>131</v>
      </c>
      <c r="B29" s="38"/>
      <c r="C29" s="36"/>
      <c r="D29" s="37" t="s">
        <v>66</v>
      </c>
      <c r="E29" s="78" t="s">
        <v>254</v>
      </c>
      <c r="F29" s="190">
        <f>F30</f>
        <v>64200</v>
      </c>
      <c r="G29" s="190">
        <f>G30</f>
        <v>0</v>
      </c>
      <c r="H29" s="190">
        <f t="shared" si="0"/>
        <v>64200</v>
      </c>
    </row>
    <row r="30" spans="1:8" ht="45.75" customHeight="1">
      <c r="A30" s="36" t="s">
        <v>132</v>
      </c>
      <c r="B30" s="38"/>
      <c r="C30" s="38"/>
      <c r="D30" s="16" t="s">
        <v>66</v>
      </c>
      <c r="E30" s="81"/>
      <c r="F30" s="190">
        <f>F31+F33+F36</f>
        <v>64200</v>
      </c>
      <c r="G30" s="190">
        <f>G31+G33+G36</f>
        <v>0</v>
      </c>
      <c r="H30" s="190">
        <f t="shared" si="0"/>
        <v>64200</v>
      </c>
    </row>
    <row r="31" spans="1:8" ht="51.75" customHeight="1">
      <c r="A31" s="38" t="s">
        <v>152</v>
      </c>
      <c r="B31" s="38" t="s">
        <v>68</v>
      </c>
      <c r="C31" s="38"/>
      <c r="D31" s="37" t="s">
        <v>69</v>
      </c>
      <c r="E31" s="78"/>
      <c r="F31" s="190">
        <f>F32</f>
        <v>42400</v>
      </c>
      <c r="G31" s="190">
        <f>G32</f>
        <v>0</v>
      </c>
      <c r="H31" s="190">
        <f t="shared" si="0"/>
        <v>42400</v>
      </c>
    </row>
    <row r="32" spans="1:8" ht="49.5" customHeight="1">
      <c r="A32" s="36" t="s">
        <v>153</v>
      </c>
      <c r="B32" s="36" t="s">
        <v>70</v>
      </c>
      <c r="C32" s="36" t="s">
        <v>71</v>
      </c>
      <c r="D32" s="16" t="s">
        <v>72</v>
      </c>
      <c r="E32" s="78"/>
      <c r="F32" s="195">
        <f>32100+1200+9500-400</f>
        <v>42400</v>
      </c>
      <c r="G32" s="191">
        <v>0</v>
      </c>
      <c r="H32" s="191">
        <f t="shared" si="0"/>
        <v>42400</v>
      </c>
    </row>
    <row r="33" spans="1:8" ht="49.5" customHeight="1">
      <c r="A33" s="38" t="s">
        <v>154</v>
      </c>
      <c r="B33" s="38" t="s">
        <v>155</v>
      </c>
      <c r="C33" s="38"/>
      <c r="D33" s="37" t="s">
        <v>74</v>
      </c>
      <c r="E33" s="78"/>
      <c r="F33" s="190">
        <f>F34+F35</f>
        <v>12045</v>
      </c>
      <c r="G33" s="190">
        <f>G34+G35</f>
        <v>0</v>
      </c>
      <c r="H33" s="190">
        <f t="shared" si="0"/>
        <v>12045</v>
      </c>
    </row>
    <row r="34" spans="1:8" ht="70.5" customHeight="1">
      <c r="A34" s="36" t="s">
        <v>156</v>
      </c>
      <c r="B34" s="36" t="s">
        <v>157</v>
      </c>
      <c r="C34" s="36" t="s">
        <v>71</v>
      </c>
      <c r="D34" s="16" t="s">
        <v>75</v>
      </c>
      <c r="E34" s="78"/>
      <c r="F34" s="191">
        <f>2200-355</f>
        <v>1845</v>
      </c>
      <c r="G34" s="191">
        <v>0</v>
      </c>
      <c r="H34" s="191">
        <f t="shared" si="0"/>
        <v>1845</v>
      </c>
    </row>
    <row r="35" spans="1:8" ht="52.5" customHeight="1">
      <c r="A35" s="36" t="s">
        <v>158</v>
      </c>
      <c r="B35" s="36" t="s">
        <v>159</v>
      </c>
      <c r="C35" s="36" t="s">
        <v>71</v>
      </c>
      <c r="D35" s="16" t="s">
        <v>76</v>
      </c>
      <c r="E35" s="78"/>
      <c r="F35" s="191">
        <f>10400-1200+1000</f>
        <v>10200</v>
      </c>
      <c r="G35" s="191">
        <v>0</v>
      </c>
      <c r="H35" s="191">
        <f t="shared" si="0"/>
        <v>10200</v>
      </c>
    </row>
    <row r="36" spans="1:8" s="51" customFormat="1" ht="54" customHeight="1">
      <c r="A36" s="38" t="s">
        <v>160</v>
      </c>
      <c r="B36" s="38" t="s">
        <v>73</v>
      </c>
      <c r="C36" s="38"/>
      <c r="D36" s="37" t="s">
        <v>77</v>
      </c>
      <c r="E36" s="78"/>
      <c r="F36" s="190">
        <f>F37</f>
        <v>9755</v>
      </c>
      <c r="G36" s="190">
        <f>G37</f>
        <v>0</v>
      </c>
      <c r="H36" s="190">
        <f t="shared" si="0"/>
        <v>9755</v>
      </c>
    </row>
    <row r="37" spans="1:8" ht="70.5" customHeight="1">
      <c r="A37" s="36" t="s">
        <v>161</v>
      </c>
      <c r="B37" s="36" t="s">
        <v>162</v>
      </c>
      <c r="C37" s="36" t="s">
        <v>71</v>
      </c>
      <c r="D37" s="39" t="s">
        <v>78</v>
      </c>
      <c r="E37" s="78"/>
      <c r="F37" s="191">
        <f>10000-245</f>
        <v>9755</v>
      </c>
      <c r="G37" s="191">
        <v>0</v>
      </c>
      <c r="H37" s="191">
        <f t="shared" si="0"/>
        <v>9755</v>
      </c>
    </row>
    <row r="38" spans="1:8" s="56" customFormat="1" ht="189.75" customHeight="1">
      <c r="A38" s="38" t="s">
        <v>131</v>
      </c>
      <c r="B38" s="38"/>
      <c r="C38" s="36"/>
      <c r="D38" s="37" t="s">
        <v>66</v>
      </c>
      <c r="E38" s="82" t="s">
        <v>288</v>
      </c>
      <c r="F38" s="193">
        <f aca="true" t="shared" si="1" ref="F38:H39">F39</f>
        <v>523</v>
      </c>
      <c r="G38" s="193">
        <f t="shared" si="1"/>
        <v>0</v>
      </c>
      <c r="H38" s="193">
        <f t="shared" si="1"/>
        <v>523</v>
      </c>
    </row>
    <row r="39" spans="1:8" s="56" customFormat="1" ht="49.5" customHeight="1">
      <c r="A39" s="36" t="s">
        <v>132</v>
      </c>
      <c r="B39" s="38"/>
      <c r="C39" s="38"/>
      <c r="D39" s="16" t="s">
        <v>66</v>
      </c>
      <c r="E39" s="78"/>
      <c r="F39" s="192">
        <f t="shared" si="1"/>
        <v>523</v>
      </c>
      <c r="G39" s="192">
        <f t="shared" si="1"/>
        <v>0</v>
      </c>
      <c r="H39" s="192">
        <f t="shared" si="1"/>
        <v>523</v>
      </c>
    </row>
    <row r="40" spans="1:8" s="56" customFormat="1" ht="49.5" customHeight="1">
      <c r="A40" s="36" t="s">
        <v>175</v>
      </c>
      <c r="B40" s="36" t="s">
        <v>178</v>
      </c>
      <c r="C40" s="36" t="s">
        <v>176</v>
      </c>
      <c r="D40" s="16" t="s">
        <v>177</v>
      </c>
      <c r="E40" s="83"/>
      <c r="F40" s="194">
        <f>1800-1277</f>
        <v>523</v>
      </c>
      <c r="G40" s="194">
        <v>0</v>
      </c>
      <c r="H40" s="192">
        <f aca="true" t="shared" si="2" ref="H40:H58">F40+G40</f>
        <v>523</v>
      </c>
    </row>
    <row r="41" spans="1:8" ht="101.25" customHeight="1">
      <c r="A41" s="38" t="s">
        <v>131</v>
      </c>
      <c r="B41" s="38"/>
      <c r="C41" s="36"/>
      <c r="D41" s="37" t="s">
        <v>66</v>
      </c>
      <c r="E41" s="82" t="s">
        <v>255</v>
      </c>
      <c r="F41" s="193">
        <f aca="true" t="shared" si="3" ref="F41:G43">F42</f>
        <v>85400</v>
      </c>
      <c r="G41" s="193">
        <f t="shared" si="3"/>
        <v>0</v>
      </c>
      <c r="H41" s="190">
        <f t="shared" si="2"/>
        <v>85400</v>
      </c>
    </row>
    <row r="42" spans="1:8" ht="53.25" customHeight="1">
      <c r="A42" s="36" t="s">
        <v>132</v>
      </c>
      <c r="B42" s="38"/>
      <c r="C42" s="38"/>
      <c r="D42" s="16" t="s">
        <v>66</v>
      </c>
      <c r="E42" s="78"/>
      <c r="F42" s="192">
        <f t="shared" si="3"/>
        <v>85400</v>
      </c>
      <c r="G42" s="192">
        <f t="shared" si="3"/>
        <v>0</v>
      </c>
      <c r="H42" s="191">
        <f t="shared" si="2"/>
        <v>85400</v>
      </c>
    </row>
    <row r="43" spans="1:8" s="51" customFormat="1" ht="53.25" customHeight="1">
      <c r="A43" s="123" t="s">
        <v>168</v>
      </c>
      <c r="B43" s="123" t="s">
        <v>169</v>
      </c>
      <c r="C43" s="123"/>
      <c r="D43" s="121" t="s">
        <v>170</v>
      </c>
      <c r="E43" s="78"/>
      <c r="F43" s="193">
        <f t="shared" si="3"/>
        <v>85400</v>
      </c>
      <c r="G43" s="193">
        <f t="shared" si="3"/>
        <v>0</v>
      </c>
      <c r="H43" s="193">
        <f>H44</f>
        <v>85400</v>
      </c>
    </row>
    <row r="44" spans="1:8" ht="51.75" customHeight="1">
      <c r="A44" s="120" t="s">
        <v>217</v>
      </c>
      <c r="B44" s="120" t="s">
        <v>218</v>
      </c>
      <c r="C44" s="120" t="s">
        <v>80</v>
      </c>
      <c r="D44" s="104" t="s">
        <v>219</v>
      </c>
      <c r="E44" s="78"/>
      <c r="F44" s="192">
        <v>85400</v>
      </c>
      <c r="G44" s="192">
        <v>0</v>
      </c>
      <c r="H44" s="192">
        <f>F44+G44</f>
        <v>85400</v>
      </c>
    </row>
    <row r="45" spans="1:8" ht="109.5" customHeight="1">
      <c r="A45" s="38" t="s">
        <v>131</v>
      </c>
      <c r="B45" s="38"/>
      <c r="C45" s="36"/>
      <c r="D45" s="37" t="s">
        <v>66</v>
      </c>
      <c r="E45" s="82" t="s">
        <v>256</v>
      </c>
      <c r="F45" s="193">
        <f aca="true" t="shared" si="4" ref="F45:G47">F46</f>
        <v>41000</v>
      </c>
      <c r="G45" s="193">
        <f t="shared" si="4"/>
        <v>0</v>
      </c>
      <c r="H45" s="190">
        <f t="shared" si="2"/>
        <v>41000</v>
      </c>
    </row>
    <row r="46" spans="1:8" ht="51" customHeight="1">
      <c r="A46" s="36" t="s">
        <v>132</v>
      </c>
      <c r="B46" s="38"/>
      <c r="C46" s="38"/>
      <c r="D46" s="16" t="s">
        <v>66</v>
      </c>
      <c r="E46" s="78"/>
      <c r="F46" s="192">
        <f t="shared" si="4"/>
        <v>41000</v>
      </c>
      <c r="G46" s="192">
        <f t="shared" si="4"/>
        <v>0</v>
      </c>
      <c r="H46" s="191">
        <f t="shared" si="2"/>
        <v>41000</v>
      </c>
    </row>
    <row r="47" spans="1:8" ht="47.25" customHeight="1">
      <c r="A47" s="38" t="s">
        <v>171</v>
      </c>
      <c r="B47" s="38" t="s">
        <v>81</v>
      </c>
      <c r="C47" s="38"/>
      <c r="D47" s="37" t="s">
        <v>82</v>
      </c>
      <c r="E47" s="78"/>
      <c r="F47" s="193">
        <f t="shared" si="4"/>
        <v>41000</v>
      </c>
      <c r="G47" s="193">
        <f t="shared" si="4"/>
        <v>0</v>
      </c>
      <c r="H47" s="190">
        <f t="shared" si="2"/>
        <v>41000</v>
      </c>
    </row>
    <row r="48" spans="1:8" ht="75.75" customHeight="1">
      <c r="A48" s="36" t="s">
        <v>172</v>
      </c>
      <c r="B48" s="36" t="s">
        <v>83</v>
      </c>
      <c r="C48" s="36" t="s">
        <v>84</v>
      </c>
      <c r="D48" s="16" t="s">
        <v>123</v>
      </c>
      <c r="E48" s="78"/>
      <c r="F48" s="192">
        <v>41000</v>
      </c>
      <c r="G48" s="192">
        <v>0</v>
      </c>
      <c r="H48" s="191">
        <f t="shared" si="2"/>
        <v>41000</v>
      </c>
    </row>
    <row r="49" spans="1:8" ht="126.75" customHeight="1">
      <c r="A49" s="36"/>
      <c r="B49" s="36"/>
      <c r="C49" s="36"/>
      <c r="E49" s="84" t="s">
        <v>257</v>
      </c>
      <c r="F49" s="193">
        <f>F53+F50</f>
        <v>0</v>
      </c>
      <c r="G49" s="193">
        <f>G53+G50</f>
        <v>416437</v>
      </c>
      <c r="H49" s="193">
        <f>H53+H50</f>
        <v>416437</v>
      </c>
    </row>
    <row r="50" spans="1:8" ht="57.75" customHeight="1">
      <c r="A50" s="38" t="s">
        <v>131</v>
      </c>
      <c r="B50" s="38"/>
      <c r="C50" s="36"/>
      <c r="D50" s="37" t="s">
        <v>66</v>
      </c>
      <c r="E50" s="84"/>
      <c r="F50" s="193">
        <f aca="true" t="shared" si="5" ref="F50:H51">F51</f>
        <v>0</v>
      </c>
      <c r="G50" s="193">
        <f t="shared" si="5"/>
        <v>244050</v>
      </c>
      <c r="H50" s="193">
        <f t="shared" si="5"/>
        <v>244050</v>
      </c>
    </row>
    <row r="51" spans="1:8" ht="59.25" customHeight="1">
      <c r="A51" s="36" t="s">
        <v>132</v>
      </c>
      <c r="B51" s="38"/>
      <c r="C51" s="38"/>
      <c r="D51" s="16" t="s">
        <v>66</v>
      </c>
      <c r="E51" s="84"/>
      <c r="F51" s="192">
        <f t="shared" si="5"/>
        <v>0</v>
      </c>
      <c r="G51" s="192">
        <f t="shared" si="5"/>
        <v>244050</v>
      </c>
      <c r="H51" s="192">
        <f t="shared" si="5"/>
        <v>244050</v>
      </c>
    </row>
    <row r="52" spans="1:8" ht="74.25" customHeight="1">
      <c r="A52" s="125" t="s">
        <v>134</v>
      </c>
      <c r="B52" s="125" t="s">
        <v>135</v>
      </c>
      <c r="C52" s="125" t="s">
        <v>67</v>
      </c>
      <c r="D52" s="126" t="s">
        <v>133</v>
      </c>
      <c r="E52" s="84"/>
      <c r="F52" s="192">
        <v>0</v>
      </c>
      <c r="G52" s="192">
        <f>139500+104550</f>
        <v>244050</v>
      </c>
      <c r="H52" s="192">
        <f>SUM(F52+G52)</f>
        <v>244050</v>
      </c>
    </row>
    <row r="53" spans="1:8" ht="74.25" customHeight="1">
      <c r="A53" s="38" t="s">
        <v>139</v>
      </c>
      <c r="B53" s="36"/>
      <c r="C53" s="36"/>
      <c r="D53" s="37" t="s">
        <v>86</v>
      </c>
      <c r="E53" s="84"/>
      <c r="F53" s="193">
        <f>F54</f>
        <v>0</v>
      </c>
      <c r="G53" s="193">
        <f>G54</f>
        <v>172387</v>
      </c>
      <c r="H53" s="193">
        <f>H54</f>
        <v>172387</v>
      </c>
    </row>
    <row r="54" spans="1:8" ht="72.75" customHeight="1">
      <c r="A54" s="36" t="s">
        <v>140</v>
      </c>
      <c r="B54" s="38"/>
      <c r="C54" s="38"/>
      <c r="D54" s="16" t="s">
        <v>86</v>
      </c>
      <c r="E54" s="80"/>
      <c r="F54" s="192">
        <f>F56</f>
        <v>0</v>
      </c>
      <c r="G54" s="192">
        <f>G56+G58</f>
        <v>172387</v>
      </c>
      <c r="H54" s="192">
        <f t="shared" si="2"/>
        <v>172387</v>
      </c>
    </row>
    <row r="55" spans="1:8" ht="104.25" customHeight="1">
      <c r="A55" s="136" t="s">
        <v>150</v>
      </c>
      <c r="B55" s="136" t="s">
        <v>106</v>
      </c>
      <c r="C55" s="136"/>
      <c r="D55" s="121" t="s">
        <v>206</v>
      </c>
      <c r="E55" s="80"/>
      <c r="F55" s="193">
        <f>F56</f>
        <v>0</v>
      </c>
      <c r="G55" s="193">
        <f>G56</f>
        <v>87446</v>
      </c>
      <c r="H55" s="193">
        <f>F55+G55</f>
        <v>87446</v>
      </c>
    </row>
    <row r="56" spans="1:8" ht="71.25" customHeight="1">
      <c r="A56" s="132" t="s">
        <v>151</v>
      </c>
      <c r="B56" s="132" t="s">
        <v>107</v>
      </c>
      <c r="C56" s="132" t="s">
        <v>108</v>
      </c>
      <c r="D56" s="134" t="s">
        <v>109</v>
      </c>
      <c r="E56" s="80"/>
      <c r="F56" s="192">
        <v>0</v>
      </c>
      <c r="G56" s="192">
        <f>37446+8500+50000-8500</f>
        <v>87446</v>
      </c>
      <c r="H56" s="192">
        <f t="shared" si="2"/>
        <v>87446</v>
      </c>
    </row>
    <row r="57" spans="1:8" ht="59.25" customHeight="1">
      <c r="A57" s="136" t="s">
        <v>262</v>
      </c>
      <c r="B57" s="136" t="s">
        <v>263</v>
      </c>
      <c r="C57" s="136"/>
      <c r="D57" s="153" t="s">
        <v>264</v>
      </c>
      <c r="E57" s="80"/>
      <c r="F57" s="193">
        <v>0</v>
      </c>
      <c r="G57" s="193">
        <f>G58</f>
        <v>84941</v>
      </c>
      <c r="H57" s="193">
        <f t="shared" si="2"/>
        <v>84941</v>
      </c>
    </row>
    <row r="58" spans="1:8" ht="71.25" customHeight="1">
      <c r="A58" s="132" t="s">
        <v>260</v>
      </c>
      <c r="B58" s="132" t="s">
        <v>261</v>
      </c>
      <c r="C58" s="165" t="s">
        <v>268</v>
      </c>
      <c r="D58" s="126" t="s">
        <v>267</v>
      </c>
      <c r="E58" s="80"/>
      <c r="F58" s="192">
        <v>0</v>
      </c>
      <c r="G58" s="192">
        <f>63000+20941+1000</f>
        <v>84941</v>
      </c>
      <c r="H58" s="192">
        <f t="shared" si="2"/>
        <v>84941</v>
      </c>
    </row>
    <row r="59" spans="1:8" ht="135.75" customHeight="1">
      <c r="A59" s="38" t="s">
        <v>195</v>
      </c>
      <c r="B59" s="38"/>
      <c r="C59" s="38"/>
      <c r="D59" s="37" t="s">
        <v>197</v>
      </c>
      <c r="E59" s="82" t="s">
        <v>258</v>
      </c>
      <c r="F59" s="193">
        <f>F60</f>
        <v>2134437</v>
      </c>
      <c r="G59" s="193">
        <f>G60</f>
        <v>3133588</v>
      </c>
      <c r="H59" s="193">
        <f>H60</f>
        <v>5268025</v>
      </c>
    </row>
    <row r="60" spans="1:8" ht="72.75" customHeight="1">
      <c r="A60" s="36" t="s">
        <v>196</v>
      </c>
      <c r="B60" s="38"/>
      <c r="C60" s="38"/>
      <c r="D60" s="16" t="s">
        <v>197</v>
      </c>
      <c r="E60" s="78"/>
      <c r="F60" s="192">
        <f>F61+F62</f>
        <v>2134437</v>
      </c>
      <c r="G60" s="192">
        <f>G61+G62</f>
        <v>3133588</v>
      </c>
      <c r="H60" s="192">
        <f>H61+H62</f>
        <v>5268025</v>
      </c>
    </row>
    <row r="61" spans="1:8" ht="54.75" customHeight="1">
      <c r="A61" s="120" t="s">
        <v>224</v>
      </c>
      <c r="B61" s="120" t="s">
        <v>225</v>
      </c>
      <c r="C61" s="120" t="s">
        <v>85</v>
      </c>
      <c r="D61" s="104" t="s">
        <v>250</v>
      </c>
      <c r="E61" s="83"/>
      <c r="F61" s="194">
        <f>2598000+18000-150000-73880-34400-94413-104456-24414</f>
        <v>2134437</v>
      </c>
      <c r="G61" s="194">
        <f>22008+150000+50000+73880-3290+34400+104456+200000-186366</f>
        <v>445088</v>
      </c>
      <c r="H61" s="192">
        <f>F61+G61</f>
        <v>2579525</v>
      </c>
    </row>
    <row r="62" spans="1:8" ht="54.75" customHeight="1">
      <c r="A62" s="136" t="s">
        <v>265</v>
      </c>
      <c r="B62" s="136" t="s">
        <v>263</v>
      </c>
      <c r="C62" s="136"/>
      <c r="D62" s="153" t="s">
        <v>264</v>
      </c>
      <c r="E62" s="83"/>
      <c r="F62" s="194">
        <v>0</v>
      </c>
      <c r="G62" s="194">
        <f>G63</f>
        <v>2688500</v>
      </c>
      <c r="H62" s="192">
        <f>F62+G62</f>
        <v>2688500</v>
      </c>
    </row>
    <row r="63" spans="1:8" ht="65.25" customHeight="1">
      <c r="A63" s="132" t="s">
        <v>266</v>
      </c>
      <c r="B63" s="132" t="s">
        <v>261</v>
      </c>
      <c r="C63" s="165" t="s">
        <v>268</v>
      </c>
      <c r="D63" s="126" t="s">
        <v>267</v>
      </c>
      <c r="E63" s="83"/>
      <c r="F63" s="194">
        <v>0</v>
      </c>
      <c r="G63" s="194">
        <f>625210+3290+2060000</f>
        <v>2688500</v>
      </c>
      <c r="H63" s="192">
        <f>F63+G63</f>
        <v>2688500</v>
      </c>
    </row>
    <row r="64" spans="1:8" ht="56.25" customHeight="1">
      <c r="A64" s="85"/>
      <c r="B64" s="85"/>
      <c r="C64" s="85"/>
      <c r="D64" s="78" t="s">
        <v>7</v>
      </c>
      <c r="E64" s="85"/>
      <c r="F64" s="193">
        <f>F12+F23+F29+F41+F45+F49+F38+F59</f>
        <v>3663837</v>
      </c>
      <c r="G64" s="193">
        <f>G12+G23+G29+G41+G45+G49+G38+G59</f>
        <v>3920025</v>
      </c>
      <c r="H64" s="193">
        <f>F64+G64</f>
        <v>7583862</v>
      </c>
    </row>
    <row r="65" ht="71.25" customHeight="1"/>
    <row r="66" ht="71.25" customHeight="1"/>
    <row r="67" ht="71.25" customHeight="1"/>
    <row r="68" ht="71.25" customHeight="1"/>
    <row r="69" ht="71.25" customHeight="1"/>
    <row r="70" ht="71.25" customHeight="1"/>
  </sheetData>
  <sheetProtection selectLockedCells="1" selectUnlockedCells="1"/>
  <mergeCells count="9">
    <mergeCell ref="A6:H6"/>
    <mergeCell ref="A9:A10"/>
    <mergeCell ref="B9:B10"/>
    <mergeCell ref="C9:C10"/>
    <mergeCell ref="D9:D10"/>
    <mergeCell ref="E9:E10"/>
    <mergeCell ref="F9:F10"/>
    <mergeCell ref="G9:G10"/>
    <mergeCell ref="H9:H10"/>
  </mergeCells>
  <printOptions/>
  <pageMargins left="0.1968503937007874" right="0.1968503937007874" top="0.7874015748031497" bottom="0.15748031496062992" header="0.7086614173228347" footer="0.15748031496062992"/>
  <pageSetup horizontalDpi="300" verticalDpi="300" orientation="landscape" paperSize="9" scale="32" r:id="rId1"/>
  <rowBreaks count="2" manualBreakCount="2">
    <brk id="27" max="7" man="1"/>
    <brk id="4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Користувач Windows</cp:lastModifiedBy>
  <cp:lastPrinted>2019-01-03T09:13:52Z</cp:lastPrinted>
  <dcterms:created xsi:type="dcterms:W3CDTF">2019-01-03T12:19:50Z</dcterms:created>
  <dcterms:modified xsi:type="dcterms:W3CDTF">2019-01-03T12:19:54Z</dcterms:modified>
  <cp:category/>
  <cp:version/>
  <cp:contentType/>
  <cp:contentStatus/>
</cp:coreProperties>
</file>